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Campos'!$A$16:$CO$254</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5" r:id="rId12"/>
    <pivotCache cacheId="48" r:id="rId13"/>
    <pivotCache cacheId="51" r:id="rId14"/>
    <pivotCache cacheId="54" r:id="rId15"/>
    <pivotCache cacheId="57" r:id="rId16"/>
    <pivotCache cacheId="60" r:id="rId17"/>
    <pivotCache cacheId="63" r:id="rId18"/>
    <pivotCache cacheId="6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30" i="21" l="1"/>
  <c r="U131" i="21"/>
  <c r="V131" i="21" s="1"/>
  <c r="A131" i="21"/>
  <c r="H131" i="21" s="1"/>
  <c r="O131" i="21" s="1"/>
  <c r="G144" i="21"/>
  <c r="U147" i="21"/>
  <c r="V147" i="21" s="1"/>
  <c r="A147" i="21"/>
  <c r="U146" i="21"/>
  <c r="V146" i="21" s="1"/>
  <c r="A146" i="21"/>
  <c r="U145" i="21"/>
  <c r="V145" i="21" s="1"/>
  <c r="A145" i="21"/>
  <c r="L47" i="15"/>
  <c r="L46" i="15"/>
  <c r="L45" i="15"/>
  <c r="N38" i="15"/>
  <c r="N37" i="15"/>
  <c r="N36" i="15"/>
  <c r="L48" i="15" l="1"/>
  <c r="K39" i="15" l="1"/>
  <c r="K37" i="15"/>
  <c r="I39" i="15"/>
  <c r="U85" i="15"/>
  <c r="G167" i="21" l="1"/>
  <c r="G170" i="21"/>
  <c r="U169" i="21"/>
  <c r="V169" i="21" s="1"/>
  <c r="A169" i="21"/>
  <c r="G139" i="21"/>
  <c r="G141" i="21"/>
  <c r="G161" i="21"/>
  <c r="G165" i="21"/>
  <c r="J39" i="15" l="1"/>
  <c r="K229" i="21" l="1"/>
  <c r="G132" i="21" l="1"/>
  <c r="G128" i="21"/>
  <c r="U134" i="21"/>
  <c r="V134" i="21" s="1"/>
  <c r="A134" i="21"/>
  <c r="U133" i="21"/>
  <c r="V133" i="21" s="1"/>
  <c r="A133" i="21"/>
  <c r="T144" i="15" l="1"/>
  <c r="T109" i="15"/>
  <c r="U144" i="15"/>
  <c r="U109"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I48" i="15"/>
  <c r="H48" i="15"/>
  <c r="J48" i="15" l="1"/>
  <c r="L39" i="15"/>
  <c r="N39" i="15"/>
  <c r="T25" i="15"/>
  <c r="T24" i="15"/>
  <c r="T23" i="15"/>
  <c r="T22" i="15"/>
  <c r="T21" i="15"/>
  <c r="T20" i="15"/>
  <c r="T19" i="15"/>
  <c r="T18" i="15"/>
  <c r="T17" i="15"/>
  <c r="T86" i="15"/>
  <c r="F36" i="15" s="1"/>
  <c r="U16" i="15"/>
  <c r="T26" i="15" l="1"/>
  <c r="K174" i="21"/>
  <c r="K170"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2"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70"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4" i="21"/>
  <c r="U254" i="21" s="1"/>
  <c r="A253" i="21"/>
  <c r="U173" i="21"/>
  <c r="V173" i="21" s="1"/>
  <c r="A173" i="21"/>
  <c r="U172" i="21"/>
  <c r="V172" i="21" s="1"/>
  <c r="A172" i="21"/>
  <c r="U171" i="21"/>
  <c r="V171" i="21" s="1"/>
  <c r="A171"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51" i="21"/>
  <c r="V251" i="21" s="1"/>
  <c r="A251" i="21"/>
  <c r="U250" i="21"/>
  <c r="V250" i="21" s="1"/>
  <c r="A250"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48" i="15" l="1"/>
  <c r="T113" i="15"/>
  <c r="T89" i="15"/>
  <c r="T8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17"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112"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119" i="1"/>
  <c r="K576" i="20" s="1"/>
  <c r="L576" i="20" s="1"/>
  <c r="W1121" i="1"/>
  <c r="K575" i="20" s="1"/>
  <c r="L575" i="20" s="1"/>
  <c r="W1110" i="1"/>
  <c r="K574" i="20" s="1"/>
  <c r="L574" i="20" s="1"/>
  <c r="W1117" i="1"/>
  <c r="K573" i="20" s="1"/>
  <c r="L573" i="20" s="1"/>
  <c r="W1118" i="1"/>
  <c r="K572" i="20" s="1"/>
  <c r="L572" i="20" s="1"/>
  <c r="W1120" i="1"/>
  <c r="K571" i="20" s="1"/>
  <c r="L571" i="20" s="1"/>
  <c r="W1299"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53" i="15" l="1"/>
  <c r="T152" i="15"/>
  <c r="T151" i="15"/>
  <c r="T150" i="15"/>
  <c r="T149" i="15"/>
  <c r="T147" i="15"/>
  <c r="T146" i="15"/>
  <c r="E38" i="15" s="1"/>
  <c r="T145"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110" i="15"/>
  <c r="F37" i="15" s="1"/>
  <c r="F39" i="15" s="1"/>
  <c r="T111" i="15"/>
  <c r="E37" i="15" s="1"/>
  <c r="T114" i="15"/>
  <c r="T115" i="15"/>
  <c r="T116" i="15"/>
  <c r="T118" i="15"/>
  <c r="T87" i="15"/>
  <c r="E36" i="15" s="1"/>
  <c r="T90" i="15"/>
  <c r="T91" i="15"/>
  <c r="T92" i="15"/>
  <c r="T93" i="15"/>
  <c r="T94" i="15"/>
  <c r="E39" i="15" l="1"/>
  <c r="T95" i="15"/>
  <c r="D36" i="15" s="1"/>
  <c r="Y13" i="20"/>
  <c r="Y9" i="20" s="1"/>
  <c r="X12" i="20"/>
  <c r="U13" i="19"/>
  <c r="T12" i="19"/>
  <c r="T154" i="15"/>
  <c r="D38" i="15" s="1"/>
  <c r="G38" i="15" s="1"/>
  <c r="T119" i="15"/>
  <c r="D37" i="15" s="1"/>
  <c r="G37" i="15" s="1"/>
  <c r="A8" i="17"/>
  <c r="A7" i="17"/>
  <c r="D39" i="15" l="1"/>
  <c r="G36" i="15"/>
  <c r="G39" i="15" s="1"/>
  <c r="L7" i="17"/>
  <c r="L8" i="17"/>
  <c r="K7" i="17"/>
  <c r="J7" i="17"/>
  <c r="J8" i="17"/>
  <c r="K8" i="17"/>
  <c r="Z13" i="20"/>
  <c r="Z9" i="20" s="1"/>
  <c r="Y12" i="20"/>
  <c r="V13" i="19"/>
  <c r="U12" i="19"/>
  <c r="H1301" i="1"/>
  <c r="H1302" i="1"/>
  <c r="H1303" i="1"/>
  <c r="H1304" i="1"/>
  <c r="H1305" i="1"/>
  <c r="H1306" i="1"/>
  <c r="H1307" i="1"/>
  <c r="H1308" i="1"/>
  <c r="H1309" i="1"/>
  <c r="H1310" i="1"/>
  <c r="H1299" i="1"/>
  <c r="H1120" i="1"/>
  <c r="H1118" i="1"/>
  <c r="H1117" i="1"/>
  <c r="H1110" i="1"/>
  <c r="H1121" i="1"/>
  <c r="H111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4" i="1"/>
  <c r="H1115" i="1"/>
  <c r="H1116" i="1"/>
  <c r="H1152" i="1"/>
  <c r="H1153" i="1"/>
  <c r="H1154" i="1"/>
  <c r="H1111" i="1"/>
  <c r="H1112" i="1"/>
  <c r="H1113" i="1"/>
  <c r="H1149" i="1"/>
  <c r="H1150" i="1"/>
  <c r="H1151" i="1"/>
  <c r="H1296" i="1"/>
  <c r="H1297" i="1"/>
  <c r="H1298" i="1"/>
  <c r="H1293" i="1"/>
  <c r="H1294" i="1"/>
  <c r="H1295" i="1"/>
  <c r="H1155" i="1"/>
  <c r="H1156" i="1"/>
  <c r="H1157" i="1"/>
  <c r="H1128" i="1"/>
  <c r="H1129" i="1"/>
  <c r="H1130" i="1"/>
  <c r="H1125" i="1"/>
  <c r="H1126" i="1"/>
  <c r="H1127" i="1"/>
  <c r="H1122" i="1"/>
  <c r="H1123" i="1"/>
  <c r="H1124" i="1"/>
  <c r="H1146" i="1"/>
  <c r="H1147" i="1"/>
  <c r="H1148" i="1"/>
  <c r="H1143" i="1"/>
  <c r="H1144" i="1"/>
  <c r="H1145" i="1"/>
  <c r="H1134" i="1"/>
  <c r="H1135" i="1"/>
  <c r="H1136" i="1"/>
  <c r="H1137" i="1"/>
  <c r="H1138" i="1"/>
  <c r="H1139" i="1"/>
  <c r="H1140" i="1"/>
  <c r="H1141" i="1"/>
  <c r="H1142" i="1"/>
  <c r="H1131" i="1"/>
  <c r="H1132" i="1"/>
  <c r="H1133"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33" i="1"/>
  <c r="W1133" i="1" s="1"/>
  <c r="O1132" i="1"/>
  <c r="W1132" i="1" s="1"/>
  <c r="O1131" i="1"/>
  <c r="O1142" i="1"/>
  <c r="W1142" i="1" s="1"/>
  <c r="O1141" i="1"/>
  <c r="W1141" i="1" s="1"/>
  <c r="O1140" i="1"/>
  <c r="O1139" i="1"/>
  <c r="W1139" i="1" s="1"/>
  <c r="O1138" i="1"/>
  <c r="W1138" i="1" s="1"/>
  <c r="O1137" i="1"/>
  <c r="O1136" i="1"/>
  <c r="W1136" i="1" s="1"/>
  <c r="O1135" i="1"/>
  <c r="W1135" i="1" s="1"/>
  <c r="O1134" i="1"/>
  <c r="O1145" i="1"/>
  <c r="W1145" i="1" s="1"/>
  <c r="O1144" i="1"/>
  <c r="W1144" i="1" s="1"/>
  <c r="O1143" i="1"/>
  <c r="W1143" i="1" s="1"/>
  <c r="O1148" i="1"/>
  <c r="W1148" i="1" s="1"/>
  <c r="O1147" i="1"/>
  <c r="W1147" i="1" s="1"/>
  <c r="O1146" i="1"/>
  <c r="W1146" i="1" s="1"/>
  <c r="O1124" i="1"/>
  <c r="W1124" i="1" s="1"/>
  <c r="O1123" i="1"/>
  <c r="W1123" i="1" s="1"/>
  <c r="O1122" i="1"/>
  <c r="W1122" i="1" s="1"/>
  <c r="O1127" i="1"/>
  <c r="W1127" i="1" s="1"/>
  <c r="O1126" i="1"/>
  <c r="W1126" i="1" s="1"/>
  <c r="O1125" i="1"/>
  <c r="W1125" i="1" s="1"/>
  <c r="O1130" i="1"/>
  <c r="W1130" i="1" s="1"/>
  <c r="O1129" i="1"/>
  <c r="W1129" i="1" s="1"/>
  <c r="O1128" i="1"/>
  <c r="W1128" i="1" s="1"/>
  <c r="O1157" i="1"/>
  <c r="W1157" i="1" s="1"/>
  <c r="O1156" i="1"/>
  <c r="W1156" i="1" s="1"/>
  <c r="O1155" i="1"/>
  <c r="W1155" i="1" s="1"/>
  <c r="O1295" i="1"/>
  <c r="W1295" i="1" s="1"/>
  <c r="O1294" i="1"/>
  <c r="W1294" i="1" s="1"/>
  <c r="O1293" i="1"/>
  <c r="W1293" i="1" s="1"/>
  <c r="O1298" i="1"/>
  <c r="W1298" i="1" s="1"/>
  <c r="O1297" i="1"/>
  <c r="W1297" i="1" s="1"/>
  <c r="O1296" i="1"/>
  <c r="W1296" i="1" s="1"/>
  <c r="O1151" i="1"/>
  <c r="W1151" i="1" s="1"/>
  <c r="O1150" i="1"/>
  <c r="W1150" i="1" s="1"/>
  <c r="O1149" i="1"/>
  <c r="W1149" i="1" s="1"/>
  <c r="O1113" i="1"/>
  <c r="W1113" i="1" s="1"/>
  <c r="O1112" i="1"/>
  <c r="W1112" i="1" s="1"/>
  <c r="O1111" i="1"/>
  <c r="W1111" i="1" s="1"/>
  <c r="O1154" i="1"/>
  <c r="W1154" i="1" s="1"/>
  <c r="O1153" i="1"/>
  <c r="W1153" i="1" s="1"/>
  <c r="O1152" i="1"/>
  <c r="W1152" i="1" s="1"/>
  <c r="O1116" i="1"/>
  <c r="W1116" i="1" s="1"/>
  <c r="O1115" i="1"/>
  <c r="W1115" i="1" s="1"/>
  <c r="O1114" i="1"/>
  <c r="W1114"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29" i="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9" i="21" s="1"/>
  <c r="O169" i="21" s="1"/>
  <c r="G588" i="20"/>
  <c r="G561" i="17" s="1"/>
  <c r="H171" i="21" s="1"/>
  <c r="O171" i="21" s="1"/>
  <c r="G589" i="20"/>
  <c r="G562" i="17" s="1"/>
  <c r="H172" i="21" s="1"/>
  <c r="O172" i="21" s="1"/>
  <c r="G591" i="20"/>
  <c r="G564" i="17" s="1"/>
  <c r="H173" i="21" s="1"/>
  <c r="O173" i="21" s="1"/>
  <c r="W1140" i="1"/>
  <c r="K590" i="20" s="1"/>
  <c r="L590" i="20" s="1"/>
  <c r="I590" i="20"/>
  <c r="J590" i="20" s="1"/>
  <c r="W1137" i="1"/>
  <c r="K589" i="20" s="1"/>
  <c r="L589" i="20" s="1"/>
  <c r="I589" i="20"/>
  <c r="J589" i="20" s="1"/>
  <c r="W1134" i="1"/>
  <c r="K588" i="20" s="1"/>
  <c r="L588" i="20" s="1"/>
  <c r="I588" i="20"/>
  <c r="J588" i="20" s="1"/>
  <c r="W1131" i="1"/>
  <c r="K591" i="20" s="1"/>
  <c r="L591" i="20" s="1"/>
  <c r="I591" i="20"/>
  <c r="J591" i="20" s="1"/>
  <c r="J1055" i="1"/>
  <c r="J826" i="1"/>
  <c r="G28" i="20"/>
  <c r="G9" i="17" s="1"/>
  <c r="H207" i="21" s="1"/>
  <c r="O207" i="21" s="1"/>
  <c r="G195" i="20"/>
  <c r="G174" i="17" s="1"/>
  <c r="H245" i="21" s="1"/>
  <c r="O245" i="21" s="1"/>
  <c r="G89" i="20"/>
  <c r="G68" i="17" s="1"/>
  <c r="J386" i="1"/>
  <c r="J793" i="1"/>
  <c r="J792" i="1"/>
  <c r="J794" i="1"/>
  <c r="J791" i="1"/>
  <c r="G198" i="20"/>
  <c r="G177" i="17" s="1"/>
  <c r="H248" i="21" s="1"/>
  <c r="O248" i="21" s="1"/>
  <c r="G200" i="20"/>
  <c r="G179" i="17" s="1"/>
  <c r="H250" i="21" s="1"/>
  <c r="O250" i="21" s="1"/>
  <c r="G197" i="20"/>
  <c r="G176" i="17" s="1"/>
  <c r="H247" i="21" s="1"/>
  <c r="O247" i="21" s="1"/>
  <c r="G201" i="20"/>
  <c r="G180" i="17" s="1"/>
  <c r="H251" i="21" s="1"/>
  <c r="O251" i="21" s="1"/>
  <c r="G196" i="20"/>
  <c r="G175" i="17" s="1"/>
  <c r="H246" i="21" s="1"/>
  <c r="O246" i="21" s="1"/>
  <c r="G199" i="20"/>
  <c r="G178" i="17" s="1"/>
  <c r="H249" i="21" s="1"/>
  <c r="O249"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296" i="1"/>
  <c r="J1024" i="1"/>
  <c r="J766" i="1"/>
  <c r="J629" i="1"/>
  <c r="J115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30" i="21" s="1"/>
  <c r="O230"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60" i="21" s="1"/>
  <c r="O160" i="21" s="1"/>
  <c r="O159" i="21" s="1"/>
  <c r="G403" i="19"/>
  <c r="G140" i="19"/>
  <c r="G213" i="19"/>
  <c r="G277" i="19"/>
  <c r="G341" i="19"/>
  <c r="G406" i="19"/>
  <c r="G605" i="19"/>
  <c r="G494" i="20"/>
  <c r="G467"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21" i="21" s="1"/>
  <c r="O221" i="21" s="1"/>
  <c r="G441" i="20"/>
  <c r="G416" i="17" s="1"/>
  <c r="H177" i="21" s="1"/>
  <c r="O177"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6" i="21" s="1"/>
  <c r="O236" i="21" s="1"/>
  <c r="G214" i="20"/>
  <c r="G191" i="17" s="1"/>
  <c r="H29" i="21" s="1"/>
  <c r="O29" i="21" s="1"/>
  <c r="G281" i="20"/>
  <c r="G258" i="17" s="1"/>
  <c r="G345" i="20"/>
  <c r="G322" i="17" s="1"/>
  <c r="G407" i="20"/>
  <c r="G382"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4" i="21" s="1"/>
  <c r="O184" i="21" s="1"/>
  <c r="G77" i="20"/>
  <c r="G56" i="17" s="1"/>
  <c r="G498" i="20"/>
  <c r="G471" i="17" s="1"/>
  <c r="H204" i="21" s="1"/>
  <c r="O204"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8" i="21" s="1"/>
  <c r="O138" i="21" s="1"/>
  <c r="G298" i="19"/>
  <c r="G87" i="19"/>
  <c r="G75" i="19"/>
  <c r="G134" i="19"/>
  <c r="G199" i="19"/>
  <c r="G263" i="19"/>
  <c r="G327" i="19"/>
  <c r="G392" i="19"/>
  <c r="G31" i="19"/>
  <c r="G97" i="19"/>
  <c r="G159" i="19"/>
  <c r="G61" i="20"/>
  <c r="G40" i="17" s="1"/>
  <c r="G488" i="20"/>
  <c r="G461" i="17" s="1"/>
  <c r="H135" i="21" s="1"/>
  <c r="O135"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2" i="21" s="1"/>
  <c r="O202"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4" i="21" s="1"/>
  <c r="O234" i="21" s="1"/>
  <c r="G210" i="20"/>
  <c r="G187" i="17" s="1"/>
  <c r="G276" i="20"/>
  <c r="G253" i="17" s="1"/>
  <c r="G341" i="20"/>
  <c r="G318" i="17" s="1"/>
  <c r="G411" i="20"/>
  <c r="G386" i="17" s="1"/>
  <c r="H142" i="21" s="1"/>
  <c r="O14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3" i="21" s="1"/>
  <c r="O163" i="21" s="1"/>
  <c r="G348" i="19"/>
  <c r="G413" i="19"/>
  <c r="G478" i="19"/>
  <c r="G531" i="19"/>
  <c r="G563" i="19"/>
  <c r="G137" i="20"/>
  <c r="G116" i="17" s="1"/>
  <c r="H232" i="21" s="1"/>
  <c r="O232" i="21" s="1"/>
  <c r="G208" i="20"/>
  <c r="G185" i="17" s="1"/>
  <c r="G274" i="20"/>
  <c r="G251" i="17" s="1"/>
  <c r="G339" i="20"/>
  <c r="G316" i="17" s="1"/>
  <c r="G409" i="20"/>
  <c r="G384" i="17" s="1"/>
  <c r="H194" i="21" s="1"/>
  <c r="O194" i="21" s="1"/>
  <c r="G34" i="20"/>
  <c r="G15" i="17" s="1"/>
  <c r="H213" i="21" s="1"/>
  <c r="O213"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7" i="21" s="1"/>
  <c r="O237" i="21" s="1"/>
  <c r="G216" i="20"/>
  <c r="G193" i="17" s="1"/>
  <c r="H31" i="21" s="1"/>
  <c r="O31" i="21" s="1"/>
  <c r="G283" i="20"/>
  <c r="G260" i="17" s="1"/>
  <c r="G347" i="20"/>
  <c r="G324" i="17" s="1"/>
  <c r="G417" i="20"/>
  <c r="G392" i="17" s="1"/>
  <c r="H154" i="21" s="1"/>
  <c r="O154"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7" i="20"/>
  <c r="G184" i="17" s="1"/>
  <c r="G273" i="20"/>
  <c r="G250" i="17" s="1"/>
  <c r="G338" i="20"/>
  <c r="G315" i="17" s="1"/>
  <c r="G408" i="20"/>
  <c r="G383" i="17" s="1"/>
  <c r="H146" i="21" s="1"/>
  <c r="O146"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3" i="21" s="1"/>
  <c r="O203" i="21" s="1"/>
  <c r="G550" i="20"/>
  <c r="G523" i="17" s="1"/>
  <c r="G582" i="20"/>
  <c r="G555" i="17" s="1"/>
  <c r="G586" i="19"/>
  <c r="G87" i="20"/>
  <c r="G66" i="17" s="1"/>
  <c r="G148" i="20"/>
  <c r="G127" i="17" s="1"/>
  <c r="H239" i="21" s="1"/>
  <c r="O239" i="21" s="1"/>
  <c r="G227" i="20"/>
  <c r="G204" i="17" s="1"/>
  <c r="H38" i="21" s="1"/>
  <c r="O38" i="21" s="1"/>
  <c r="G294" i="20"/>
  <c r="G271" i="17" s="1"/>
  <c r="G358" i="20"/>
  <c r="G335" i="17" s="1"/>
  <c r="G420" i="20"/>
  <c r="G395" i="17" s="1"/>
  <c r="H156" i="21" s="1"/>
  <c r="O156" i="21" s="1"/>
  <c r="G483" i="20"/>
  <c r="G456" i="17" s="1"/>
  <c r="H91" i="21" s="1"/>
  <c r="O91" i="21" s="1"/>
  <c r="G543" i="20"/>
  <c r="G516" i="17" s="1"/>
  <c r="G575" i="20"/>
  <c r="G548" i="17" s="1"/>
  <c r="H105" i="21" s="1"/>
  <c r="O105" i="21" s="1"/>
  <c r="O104" i="21" s="1"/>
  <c r="G220" i="20"/>
  <c r="G197" i="17" s="1"/>
  <c r="G287" i="20"/>
  <c r="G264" i="17" s="1"/>
  <c r="G351" i="20"/>
  <c r="G328" i="17" s="1"/>
  <c r="G413" i="20"/>
  <c r="G388" i="17" s="1"/>
  <c r="H143" i="21" s="1"/>
  <c r="O143"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3" i="21" s="1"/>
  <c r="O223"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3" i="21" s="1"/>
  <c r="O153" i="21" s="1"/>
  <c r="G487" i="20"/>
  <c r="G460" i="17" s="1"/>
  <c r="H134" i="21" s="1"/>
  <c r="O134" i="21" s="1"/>
  <c r="G545" i="20"/>
  <c r="G518" i="17" s="1"/>
  <c r="G577" i="20"/>
  <c r="G550" i="17" s="1"/>
  <c r="G588" i="19"/>
  <c r="G92" i="20"/>
  <c r="G71" i="17" s="1"/>
  <c r="G162" i="20"/>
  <c r="G141" i="17" s="1"/>
  <c r="H241" i="21" s="1"/>
  <c r="O241" i="21" s="1"/>
  <c r="G233" i="20"/>
  <c r="G210" i="17" s="1"/>
  <c r="H43" i="21" s="1"/>
  <c r="O43" i="21" s="1"/>
  <c r="G300" i="20"/>
  <c r="G277" i="17" s="1"/>
  <c r="G364" i="20"/>
  <c r="G341" i="17" s="1"/>
  <c r="G434" i="20"/>
  <c r="G409" i="17" s="1"/>
  <c r="H126" i="21" s="1"/>
  <c r="O126" i="21" s="1"/>
  <c r="G505" i="20"/>
  <c r="G478" i="17" s="1"/>
  <c r="H18" i="21" s="1"/>
  <c r="O18" i="21" s="1"/>
  <c r="O17" i="21" s="1"/>
  <c r="G554" i="20"/>
  <c r="G527" i="17" s="1"/>
  <c r="H166" i="21" s="1"/>
  <c r="O166" i="21" s="1"/>
  <c r="O165" i="21" s="1"/>
  <c r="G586" i="20"/>
  <c r="G559" i="17" s="1"/>
  <c r="G37" i="20"/>
  <c r="G18" i="17" s="1"/>
  <c r="H216" i="21" s="1"/>
  <c r="O216"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7" i="21" s="1"/>
  <c r="O157" i="21" s="1"/>
  <c r="G484" i="20"/>
  <c r="G457" i="17" s="1"/>
  <c r="H95" i="21" s="1"/>
  <c r="O95" i="21" s="1"/>
  <c r="O94" i="21" s="1"/>
  <c r="G621" i="19"/>
  <c r="G60" i="20"/>
  <c r="G39" i="17" s="1"/>
  <c r="G117" i="20"/>
  <c r="G96" i="17" s="1"/>
  <c r="G48" i="19"/>
  <c r="G491" i="19"/>
  <c r="G183" i="20"/>
  <c r="G162" i="17" s="1"/>
  <c r="G447" i="20"/>
  <c r="G422" i="17" s="1"/>
  <c r="H182" i="21" s="1"/>
  <c r="O182"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2" i="21" s="1"/>
  <c r="O242"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201" i="21" s="1"/>
  <c r="O201" i="21" s="1"/>
  <c r="G549" i="20"/>
  <c r="G522" i="17" s="1"/>
  <c r="G581" i="20"/>
  <c r="G554" i="17" s="1"/>
  <c r="G27" i="20"/>
  <c r="G8" i="17" s="1"/>
  <c r="H206" i="21" s="1"/>
  <c r="O206" i="21" s="1"/>
  <c r="G99" i="20"/>
  <c r="G78" i="17" s="1"/>
  <c r="G170" i="20"/>
  <c r="G149" i="17" s="1"/>
  <c r="G243" i="20"/>
  <c r="G220" i="17" s="1"/>
  <c r="G308" i="20"/>
  <c r="G285" i="17" s="1"/>
  <c r="G378" i="20"/>
  <c r="G353" i="17" s="1"/>
  <c r="H222" i="21" s="1"/>
  <c r="O222" i="21" s="1"/>
  <c r="G442" i="20"/>
  <c r="G417" i="17" s="1"/>
  <c r="H178" i="21" s="1"/>
  <c r="O178"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8" i="21" s="1"/>
  <c r="O188"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11" i="21" s="1"/>
  <c r="O211" i="21" s="1"/>
  <c r="G437" i="19"/>
  <c r="G161" i="20"/>
  <c r="G140" i="17" s="1"/>
  <c r="G355" i="20"/>
  <c r="G332" i="17" s="1"/>
  <c r="G84" i="20"/>
  <c r="G63" i="17" s="1"/>
  <c r="G391" i="19"/>
  <c r="G548" i="19"/>
  <c r="G179" i="20"/>
  <c r="G158" i="17" s="1"/>
  <c r="G301" i="20"/>
  <c r="G278" i="17" s="1"/>
  <c r="G395" i="20"/>
  <c r="G370"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2" i="21" s="1"/>
  <c r="O162" i="21" s="1"/>
  <c r="G553" i="20"/>
  <c r="G526" i="17" s="1"/>
  <c r="H164" i="21" s="1"/>
  <c r="O164" i="21" s="1"/>
  <c r="G585" i="20"/>
  <c r="G558" i="17" s="1"/>
  <c r="G35" i="20"/>
  <c r="G16" i="17" s="1"/>
  <c r="H214" i="21" s="1"/>
  <c r="O214" i="21" s="1"/>
  <c r="G113" i="20"/>
  <c r="G92" i="17" s="1"/>
  <c r="G178" i="20"/>
  <c r="G157" i="17" s="1"/>
  <c r="G251" i="20"/>
  <c r="G228" i="17" s="1"/>
  <c r="G316" i="20"/>
  <c r="G293" i="17" s="1"/>
  <c r="G386" i="20"/>
  <c r="G361" i="17" s="1"/>
  <c r="H24" i="21" s="1"/>
  <c r="O24" i="21" s="1"/>
  <c r="G450" i="20"/>
  <c r="G425" i="17" s="1"/>
  <c r="H185" i="21" s="1"/>
  <c r="O185" i="21" s="1"/>
  <c r="G526" i="20"/>
  <c r="G499" i="17" s="1"/>
  <c r="G562" i="20"/>
  <c r="G535" i="17" s="1"/>
  <c r="G628" i="19"/>
  <c r="G52" i="20"/>
  <c r="G31" i="17" s="1"/>
  <c r="G107" i="20"/>
  <c r="G86" i="17" s="1"/>
  <c r="G172" i="20"/>
  <c r="G151" i="17" s="1"/>
  <c r="G253" i="20"/>
  <c r="G230" i="17" s="1"/>
  <c r="G318" i="20"/>
  <c r="G295" i="17" s="1"/>
  <c r="G380" i="20"/>
  <c r="G355" i="17" s="1"/>
  <c r="H224" i="21" s="1"/>
  <c r="O224" i="21" s="1"/>
  <c r="G444" i="20"/>
  <c r="G419" i="17" s="1"/>
  <c r="H180" i="21" s="1"/>
  <c r="O180" i="21" s="1"/>
  <c r="G507" i="20"/>
  <c r="G480" i="17" s="1"/>
  <c r="H191" i="21" s="1"/>
  <c r="O191"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50" i="21" s="1"/>
  <c r="O150"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4" i="21" s="1"/>
  <c r="O244"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2" i="21" s="1"/>
  <c r="O192" i="21" s="1"/>
  <c r="G592" i="19"/>
  <c r="G81" i="20"/>
  <c r="G60" i="17" s="1"/>
  <c r="G142" i="20"/>
  <c r="G121" i="17" s="1"/>
  <c r="G213" i="20"/>
  <c r="G190" i="17" s="1"/>
  <c r="G280" i="20"/>
  <c r="G257" i="17" s="1"/>
  <c r="G344" i="20"/>
  <c r="G321" i="17" s="1"/>
  <c r="G406" i="20"/>
  <c r="G381" i="17" s="1"/>
  <c r="H140" i="21" s="1"/>
  <c r="O140" i="21" s="1"/>
  <c r="O139"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3" i="21" s="1"/>
  <c r="O243" i="21" s="1"/>
  <c r="G249" i="20"/>
  <c r="G226" i="17" s="1"/>
  <c r="G314" i="20"/>
  <c r="G291" i="17" s="1"/>
  <c r="G384" i="20"/>
  <c r="G359" i="17" s="1"/>
  <c r="G448" i="20"/>
  <c r="G423" i="17" s="1"/>
  <c r="H183" i="21" s="1"/>
  <c r="O183"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9" i="21" s="1"/>
  <c r="O149"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7" i="21" s="1"/>
  <c r="O187" i="21" s="1"/>
  <c r="G516" i="20"/>
  <c r="G489" i="17" s="1"/>
  <c r="H57" i="21" s="1"/>
  <c r="O57" i="21" s="1"/>
  <c r="G584" i="19"/>
  <c r="G150" i="20"/>
  <c r="G129" i="17" s="1"/>
  <c r="H240" i="21" s="1"/>
  <c r="O240" i="21" s="1"/>
  <c r="G221" i="20"/>
  <c r="G198" i="17" s="1"/>
  <c r="G288" i="20"/>
  <c r="G265" i="17" s="1"/>
  <c r="G352" i="20"/>
  <c r="G329" i="17" s="1"/>
  <c r="G414" i="20"/>
  <c r="G389" i="17" s="1"/>
  <c r="H196" i="21" s="1"/>
  <c r="O196" i="21" s="1"/>
  <c r="G477" i="20"/>
  <c r="G450" i="17" s="1"/>
  <c r="H137" i="21" s="1"/>
  <c r="O137" i="21" s="1"/>
  <c r="O136"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90" i="21" s="1"/>
  <c r="O190" i="21" s="1"/>
  <c r="G456" i="19"/>
  <c r="G624" i="19"/>
  <c r="G236" i="20"/>
  <c r="G213" i="17" s="1"/>
  <c r="G325" i="20"/>
  <c r="G302" i="17" s="1"/>
  <c r="G443" i="20"/>
  <c r="G418" i="17" s="1"/>
  <c r="H179" i="21" s="1"/>
  <c r="O179"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5" i="21" s="1"/>
  <c r="O235" i="21" s="1"/>
  <c r="G412" i="20"/>
  <c r="G387" i="17" s="1"/>
  <c r="H147" i="21" s="1"/>
  <c r="O147" i="21" s="1"/>
  <c r="G212" i="20"/>
  <c r="G189" i="17" s="1"/>
  <c r="G468" i="20"/>
  <c r="G441" i="17" s="1"/>
  <c r="H71" i="21" s="1"/>
  <c r="O71" i="21" s="1"/>
  <c r="G166" i="20"/>
  <c r="G145" i="17" s="1"/>
  <c r="G422" i="20"/>
  <c r="G397" i="17" s="1"/>
  <c r="H158" i="21" s="1"/>
  <c r="O158"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5" i="21" s="1"/>
  <c r="O175" i="21" s="1"/>
  <c r="O174"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8" i="21" s="1"/>
  <c r="O168" i="21" s="1"/>
  <c r="O167" i="21" s="1"/>
  <c r="G446" i="20"/>
  <c r="G421" i="17" s="1"/>
  <c r="H181" i="21" s="1"/>
  <c r="O181"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51" i="21" s="1"/>
  <c r="O151" i="21" s="1"/>
  <c r="G278" i="20"/>
  <c r="G255" i="17" s="1"/>
  <c r="G632" i="19"/>
  <c r="G239" i="20"/>
  <c r="G216" i="17" s="1"/>
  <c r="G580" i="20"/>
  <c r="G553" i="17" s="1"/>
  <c r="G84" i="19"/>
  <c r="G33" i="20"/>
  <c r="G14" i="17" s="1"/>
  <c r="H212" i="21" s="1"/>
  <c r="O212"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3" i="21" s="1"/>
  <c r="O233" i="21" s="1"/>
  <c r="G410" i="20"/>
  <c r="G385" i="17" s="1"/>
  <c r="H195" i="21" s="1"/>
  <c r="O195" i="21" s="1"/>
  <c r="G602" i="19"/>
  <c r="G277" i="20"/>
  <c r="G254" i="17" s="1"/>
  <c r="G535" i="20"/>
  <c r="G508" i="17" s="1"/>
  <c r="G335" i="20"/>
  <c r="G312" i="17" s="1"/>
  <c r="G31" i="20"/>
  <c r="G12" i="17" s="1"/>
  <c r="H210" i="21" s="1"/>
  <c r="O210" i="21" s="1"/>
  <c r="G296" i="20"/>
  <c r="G273" i="17" s="1"/>
  <c r="G485" i="20"/>
  <c r="G458" i="17" s="1"/>
  <c r="H129" i="21" s="1"/>
  <c r="O129"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8" i="21" s="1"/>
  <c r="O238" i="21" s="1"/>
  <c r="G418" i="20"/>
  <c r="G393" i="17" s="1"/>
  <c r="H155" i="21" s="1"/>
  <c r="O155" i="21" s="1"/>
  <c r="G594" i="19"/>
  <c r="G286" i="20"/>
  <c r="G263" i="17" s="1"/>
  <c r="G539" i="20"/>
  <c r="G512" i="17" s="1"/>
  <c r="G343" i="20"/>
  <c r="G320" i="17" s="1"/>
  <c r="G46" i="20"/>
  <c r="G25" i="17" s="1"/>
  <c r="G493" i="20"/>
  <c r="G466" i="17" s="1"/>
  <c r="H199" i="21" s="1"/>
  <c r="O199"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6" i="21" s="1"/>
  <c r="O186" i="21" s="1"/>
  <c r="G506" i="19"/>
  <c r="G132" i="20"/>
  <c r="G111" i="17" s="1"/>
  <c r="G29" i="20"/>
  <c r="G10" i="17" s="1"/>
  <c r="H208" i="21" s="1"/>
  <c r="O208"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42" i="1"/>
  <c r="J627" i="1"/>
  <c r="J619" i="1"/>
  <c r="J611" i="1"/>
  <c r="J603" i="1"/>
  <c r="J589" i="1"/>
  <c r="J581" i="1"/>
  <c r="J573" i="1"/>
  <c r="J565" i="1"/>
  <c r="J557" i="1"/>
  <c r="J549" i="1"/>
  <c r="J373" i="1"/>
  <c r="J628" i="1"/>
  <c r="J612" i="1"/>
  <c r="J596" i="1"/>
  <c r="J574" i="1"/>
  <c r="J550" i="1"/>
  <c r="J1140"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119" i="1"/>
  <c r="J1281" i="1"/>
  <c r="J1289" i="1"/>
  <c r="J1258" i="1"/>
  <c r="J1266" i="1"/>
  <c r="J1274" i="1"/>
  <c r="J1120" i="1"/>
  <c r="J1276" i="1"/>
  <c r="J1284" i="1"/>
  <c r="J1292" i="1"/>
  <c r="J1261" i="1"/>
  <c r="J1269" i="1"/>
  <c r="J1277" i="1"/>
  <c r="J1270" i="1"/>
  <c r="J1110" i="1"/>
  <c r="J1279" i="1"/>
  <c r="J1264" i="1"/>
  <c r="J1272" i="1"/>
  <c r="J1121" i="1"/>
  <c r="J1288" i="1"/>
  <c r="J1265" i="1"/>
  <c r="J1306" i="1"/>
  <c r="J1300" i="1"/>
  <c r="J1282" i="1"/>
  <c r="J1290" i="1"/>
  <c r="J1259" i="1"/>
  <c r="J1267" i="1"/>
  <c r="J1275" i="1"/>
  <c r="J1299" i="1"/>
  <c r="J1283" i="1"/>
  <c r="J1291" i="1"/>
  <c r="J1260" i="1"/>
  <c r="J1268" i="1"/>
  <c r="J1307" i="1"/>
  <c r="J1118" i="1"/>
  <c r="J1285" i="1"/>
  <c r="J1262" i="1"/>
  <c r="J1287" i="1"/>
  <c r="J1280" i="1"/>
  <c r="J1257" i="1"/>
  <c r="J1273" i="1"/>
  <c r="J1308" i="1"/>
  <c r="J1301" i="1"/>
  <c r="J1309" i="1"/>
  <c r="J1302" i="1"/>
  <c r="J1310" i="1"/>
  <c r="J1117"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34"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57"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295"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55" i="1"/>
  <c r="J1139" i="1"/>
  <c r="J1170" i="1"/>
  <c r="J1192" i="1"/>
  <c r="J1230" i="1"/>
  <c r="J1249" i="1"/>
  <c r="J27" i="1"/>
  <c r="J1034" i="1"/>
  <c r="J1058" i="1"/>
  <c r="J1082" i="1"/>
  <c r="J1115" i="1"/>
  <c r="J1126" i="1"/>
  <c r="J1159" i="1"/>
  <c r="J1183" i="1"/>
  <c r="J1207" i="1"/>
  <c r="J1246" i="1"/>
  <c r="J1016" i="1"/>
  <c r="J1040" i="1"/>
  <c r="J1090" i="1"/>
  <c r="J1123" i="1"/>
  <c r="J1186" i="1"/>
  <c r="J1254" i="1"/>
  <c r="J1018" i="1"/>
  <c r="J1071" i="1"/>
  <c r="J1143" i="1"/>
  <c r="J1231" i="1"/>
  <c r="J1015" i="1"/>
  <c r="J1039" i="1"/>
  <c r="J1063" i="1"/>
  <c r="J1088" i="1"/>
  <c r="J1116" i="1"/>
  <c r="J1127" i="1"/>
  <c r="J1160" i="1"/>
  <c r="J1184" i="1"/>
  <c r="J1208" i="1"/>
  <c r="J1247" i="1"/>
  <c r="J14" i="1"/>
  <c r="J1066" i="1"/>
  <c r="J1153" i="1"/>
  <c r="J1162" i="1"/>
  <c r="J1210" i="1"/>
  <c r="J1047" i="1"/>
  <c r="J114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41" i="1"/>
  <c r="J1145" i="1"/>
  <c r="J1122" i="1"/>
  <c r="J1156" i="1"/>
  <c r="J1151" i="1"/>
  <c r="J1152"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38" i="1"/>
  <c r="J1148" i="1"/>
  <c r="J1125" i="1"/>
  <c r="J1294" i="1"/>
  <c r="J1113" i="1"/>
  <c r="J1114"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33" i="1"/>
  <c r="J1137" i="1"/>
  <c r="J1147" i="1"/>
  <c r="J1130" i="1"/>
  <c r="J1293" i="1"/>
  <c r="J1112"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32" i="1"/>
  <c r="J1136" i="1"/>
  <c r="J1146" i="1"/>
  <c r="J1129" i="1"/>
  <c r="J1298" i="1"/>
  <c r="J1111"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31" i="1"/>
  <c r="J1135" i="1"/>
  <c r="J1124" i="1"/>
  <c r="J1128" i="1"/>
  <c r="J1297" i="1"/>
  <c r="J1154" i="1"/>
  <c r="J1107" i="1"/>
  <c r="J1099" i="1"/>
  <c r="J1091" i="1"/>
  <c r="J1083" i="1"/>
  <c r="J1075" i="1"/>
  <c r="J1067" i="1"/>
  <c r="J1059" i="1"/>
  <c r="J1051" i="1"/>
  <c r="J1043" i="1"/>
  <c r="J1035" i="1"/>
  <c r="J1027" i="1"/>
  <c r="J1019" i="1"/>
  <c r="J30" i="1"/>
  <c r="J22" i="1"/>
  <c r="O170" i="21" l="1"/>
  <c r="O141" i="21"/>
  <c r="O152" i="21"/>
  <c r="O148" i="21" s="1"/>
  <c r="O144" i="21" s="1"/>
  <c r="O161" i="21"/>
  <c r="O132" i="21"/>
  <c r="O130" i="21" s="1"/>
  <c r="O128" i="21"/>
  <c r="O83" i="21"/>
  <c r="U24" i="15"/>
  <c r="V24" i="15" s="1"/>
  <c r="U20" i="15"/>
  <c r="V20" i="15" s="1"/>
  <c r="U86" i="15"/>
  <c r="F45" i="15" s="1"/>
  <c r="U90" i="15"/>
  <c r="V90" i="15" s="1"/>
  <c r="U94" i="15"/>
  <c r="V94" i="15" s="1"/>
  <c r="U23" i="15"/>
  <c r="V23" i="15" s="1"/>
  <c r="U19" i="15"/>
  <c r="V19" i="15" s="1"/>
  <c r="U87" i="15"/>
  <c r="U91" i="15"/>
  <c r="V91" i="15" s="1"/>
  <c r="U22" i="15"/>
  <c r="V22" i="15" s="1"/>
  <c r="U18" i="15"/>
  <c r="V18" i="15" s="1"/>
  <c r="U88" i="15"/>
  <c r="U92" i="15"/>
  <c r="V92" i="15" s="1"/>
  <c r="U25" i="15"/>
  <c r="V25" i="15" s="1"/>
  <c r="U21" i="15"/>
  <c r="V21" i="15" s="1"/>
  <c r="U17" i="15"/>
  <c r="U89" i="15"/>
  <c r="V89" i="15" s="1"/>
  <c r="U93" i="15"/>
  <c r="V93" i="15" s="1"/>
  <c r="O123" i="21"/>
  <c r="O106" i="21"/>
  <c r="O88" i="21"/>
  <c r="O61" i="21"/>
  <c r="O46" i="21"/>
  <c r="H227" i="21"/>
  <c r="O227" i="21" s="1"/>
  <c r="H226" i="21"/>
  <c r="O226" i="21" s="1"/>
  <c r="H228" i="21"/>
  <c r="O228" i="21" s="1"/>
  <c r="O50" i="21"/>
  <c r="O98" i="21"/>
  <c r="O19" i="21"/>
  <c r="O220" i="21"/>
  <c r="O198" i="21"/>
  <c r="O77" i="21"/>
  <c r="O193" i="21"/>
  <c r="O28" i="21"/>
  <c r="O80" i="21"/>
  <c r="O189" i="21"/>
  <c r="O229" i="21"/>
  <c r="O205" i="21"/>
  <c r="N588" i="20"/>
  <c r="N591" i="20"/>
  <c r="N589" i="20"/>
  <c r="N590" i="20"/>
  <c r="U148" i="15"/>
  <c r="V148" i="15" s="1"/>
  <c r="U113" i="15"/>
  <c r="V113"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51" i="15"/>
  <c r="V151" i="15" s="1"/>
  <c r="U150" i="15"/>
  <c r="V150" i="15" s="1"/>
  <c r="U149" i="15"/>
  <c r="V149" i="15" s="1"/>
  <c r="U145" i="15"/>
  <c r="F47" i="15" s="1"/>
  <c r="U147" i="15"/>
  <c r="U146" i="15"/>
  <c r="U153" i="15"/>
  <c r="V153" i="15" s="1"/>
  <c r="U152" i="15"/>
  <c r="V15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110" i="15"/>
  <c r="F46" i="15" s="1"/>
  <c r="U115" i="15"/>
  <c r="V115" i="15" s="1"/>
  <c r="U116" i="15"/>
  <c r="V116" i="15" s="1"/>
  <c r="U111" i="15"/>
  <c r="U112" i="15"/>
  <c r="U117" i="15"/>
  <c r="V117" i="15" s="1"/>
  <c r="U114" i="15"/>
  <c r="V114" i="15" s="1"/>
  <c r="U118" i="15"/>
  <c r="V118" i="15" s="1"/>
  <c r="V87" i="15" l="1"/>
  <c r="E45" i="15"/>
  <c r="F48" i="15"/>
  <c r="V112" i="15"/>
  <c r="V147" i="15"/>
  <c r="V88" i="15"/>
  <c r="V111" i="15"/>
  <c r="E46" i="15"/>
  <c r="V146" i="15"/>
  <c r="E47" i="15"/>
  <c r="U26" i="15"/>
  <c r="V17" i="15"/>
  <c r="O225"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110" i="15"/>
  <c r="U119" i="15"/>
  <c r="D46" i="15" s="1"/>
  <c r="V145" i="15"/>
  <c r="U154" i="15"/>
  <c r="V86" i="15"/>
  <c r="U95" i="15"/>
  <c r="G46" i="15" l="1"/>
  <c r="D148" i="15"/>
  <c r="D47" i="15"/>
  <c r="D89" i="15"/>
  <c r="D45" i="15"/>
  <c r="G45" i="15" s="1"/>
  <c r="E48" i="15"/>
  <c r="L371" i="20"/>
  <c r="N371" i="20" s="1"/>
  <c r="Q456" i="20"/>
  <c r="N456" i="20"/>
  <c r="Q371" i="20"/>
  <c r="Q40" i="20"/>
  <c r="K40" i="20"/>
  <c r="L40" i="20" s="1"/>
  <c r="N40" i="20" s="1"/>
  <c r="N25" i="20"/>
  <c r="J583" i="19"/>
  <c r="L583" i="19" s="1"/>
  <c r="J27" i="19"/>
  <c r="I25" i="19"/>
  <c r="J24" i="20"/>
  <c r="J594" i="20" s="1"/>
  <c r="Q25" i="20"/>
  <c r="I24" i="20"/>
  <c r="D113"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1" i="21" a="1"/>
  <c r="L171" i="21" s="1"/>
  <c r="L154" i="21" a="1"/>
  <c r="L154" i="21" s="1"/>
  <c r="M244" i="21" a="1"/>
  <c r="M244" i="21" s="1"/>
  <c r="L241" i="21" a="1"/>
  <c r="L241" i="21" s="1"/>
  <c r="M41" i="21" a="1"/>
  <c r="M41" i="21" s="1"/>
  <c r="M243" i="21" a="1"/>
  <c r="M243" i="21" s="1"/>
  <c r="M242" i="21" a="1"/>
  <c r="M242" i="21" s="1"/>
  <c r="L41" i="21" a="1"/>
  <c r="L41" i="21" s="1"/>
  <c r="L248" i="21" a="1"/>
  <c r="L248" i="21" s="1"/>
  <c r="L38" i="21" a="1"/>
  <c r="L38" i="21" s="1"/>
  <c r="M208" i="21" a="1"/>
  <c r="M208" i="21" s="1"/>
  <c r="L36" i="21" a="1"/>
  <c r="L36" i="21" s="1"/>
  <c r="M236" i="21" a="1"/>
  <c r="M236" i="21" s="1"/>
  <c r="L32" i="21" a="1"/>
  <c r="L32" i="21" s="1"/>
  <c r="M32" i="21" a="1"/>
  <c r="M32" i="21" s="1"/>
  <c r="M31" i="21" a="1"/>
  <c r="M31" i="21" s="1"/>
  <c r="M37" i="21" a="1"/>
  <c r="M37" i="21" s="1"/>
  <c r="L233" i="21" a="1"/>
  <c r="L233" i="21" s="1"/>
  <c r="M249" i="21" a="1"/>
  <c r="M249" i="21" s="1"/>
  <c r="L234" i="21" a="1"/>
  <c r="L234" i="21" s="1"/>
  <c r="M235" i="21" a="1"/>
  <c r="M235" i="21" s="1"/>
  <c r="L43" i="21" a="1"/>
  <c r="L43" i="21" s="1"/>
  <c r="L29" i="21" a="1"/>
  <c r="L29" i="21" s="1"/>
  <c r="M40" i="21" a="1"/>
  <c r="M40" i="21" s="1"/>
  <c r="L208" i="21" a="1"/>
  <c r="L208" i="21" s="1"/>
  <c r="L246" i="21" a="1"/>
  <c r="L246" i="21" s="1"/>
  <c r="L242" i="21" a="1"/>
  <c r="L242" i="21" s="1"/>
  <c r="L42" i="21" a="1"/>
  <c r="L42" i="21" s="1"/>
  <c r="M42" i="21" a="1"/>
  <c r="M42" i="21" s="1"/>
  <c r="L40" i="21" a="1"/>
  <c r="L40" i="21" s="1"/>
  <c r="L251" i="21" a="1"/>
  <c r="L251" i="21" s="1"/>
  <c r="M33" i="21" a="1"/>
  <c r="M33" i="21" s="1"/>
  <c r="M248" i="21" a="1"/>
  <c r="M248" i="21" s="1"/>
  <c r="M43" i="21" a="1"/>
  <c r="M43" i="21" s="1"/>
  <c r="M231" i="21" a="1"/>
  <c r="M231" i="21" s="1"/>
  <c r="L232" i="21" a="1"/>
  <c r="L232" i="21" s="1"/>
  <c r="L31" i="21" a="1"/>
  <c r="L31" i="21" s="1"/>
  <c r="M246" i="21" a="1"/>
  <c r="M246" i="21" s="1"/>
  <c r="M245" i="21" a="1"/>
  <c r="M245" i="21" s="1"/>
  <c r="M234" i="21" a="1"/>
  <c r="M234" i="21" s="1"/>
  <c r="L244" i="21" a="1"/>
  <c r="L244" i="21" s="1"/>
  <c r="M34" i="21" a="1"/>
  <c r="M34" i="21" s="1"/>
  <c r="L236" i="21" a="1"/>
  <c r="L236" i="21" s="1"/>
  <c r="M251" i="21" a="1"/>
  <c r="M251" i="21" s="1"/>
  <c r="L243" i="21" a="1"/>
  <c r="L243" i="21" s="1"/>
  <c r="M238" i="21" a="1"/>
  <c r="M238" i="21" s="1"/>
  <c r="L237" i="21" a="1"/>
  <c r="L237" i="21" s="1"/>
  <c r="M247" i="21" a="1"/>
  <c r="M247" i="21" s="1"/>
  <c r="M230" i="21" a="1"/>
  <c r="M230" i="21" s="1"/>
  <c r="M241" i="21" a="1"/>
  <c r="M241" i="21" s="1"/>
  <c r="M207" i="21" a="1"/>
  <c r="M207" i="21" s="1"/>
  <c r="L239" i="21" a="1"/>
  <c r="L239" i="21" s="1"/>
  <c r="L37" i="21" a="1"/>
  <c r="L37" i="21" s="1"/>
  <c r="L240" i="21" a="1"/>
  <c r="L240" i="21" s="1"/>
  <c r="M232" i="21" a="1"/>
  <c r="M232" i="21" s="1"/>
  <c r="M39" i="21" a="1"/>
  <c r="M39" i="21" s="1"/>
  <c r="L231" i="21" a="1"/>
  <c r="L231" i="21" s="1"/>
  <c r="M209" i="21" a="1"/>
  <c r="M209" i="21" s="1"/>
  <c r="L215" i="21" a="1"/>
  <c r="L215" i="21" s="1"/>
  <c r="M239" i="21" a="1"/>
  <c r="M239" i="21" s="1"/>
  <c r="M250" i="21" a="1"/>
  <c r="M250" i="21" s="1"/>
  <c r="M36" i="21" a="1"/>
  <c r="M36" i="21" s="1"/>
  <c r="L247" i="21" a="1"/>
  <c r="L247" i="21" s="1"/>
  <c r="L238" i="21" a="1"/>
  <c r="L238" i="21" s="1"/>
  <c r="M38" i="21" a="1"/>
  <c r="M38" i="21" s="1"/>
  <c r="L250" i="21" a="1"/>
  <c r="L250" i="21" s="1"/>
  <c r="M240" i="21" a="1"/>
  <c r="M240" i="21" s="1"/>
  <c r="L33" i="21" a="1"/>
  <c r="L33" i="21" s="1"/>
  <c r="M35" i="21" a="1"/>
  <c r="M35" i="21" s="1"/>
  <c r="M237" i="21" a="1"/>
  <c r="M237" i="21" s="1"/>
  <c r="M30" i="21" a="1"/>
  <c r="M30" i="21" s="1"/>
  <c r="L249" i="21" a="1"/>
  <c r="L249" i="21" s="1"/>
  <c r="M233" i="21" a="1"/>
  <c r="M233" i="21" s="1"/>
  <c r="L245" i="21" a="1"/>
  <c r="L245"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P154" i="21" l="1"/>
  <c r="M107" i="21" a="1"/>
  <c r="M107" i="21" s="1"/>
  <c r="L199" i="21" a="1"/>
  <c r="L199" i="21" s="1"/>
  <c r="M26" i="21" a="1"/>
  <c r="M26" i="21" s="1"/>
  <c r="P26" i="21" s="1"/>
  <c r="Q26" i="21" s="1"/>
  <c r="L186" i="21" a="1"/>
  <c r="L186" i="21" s="1"/>
  <c r="M179" i="21" a="1"/>
  <c r="M179" i="21" s="1"/>
  <c r="M27" i="21" a="1"/>
  <c r="M27" i="21" s="1"/>
  <c r="M149" i="21" a="1"/>
  <c r="M149" i="21" s="1"/>
  <c r="M171" i="21" a="1"/>
  <c r="M171" i="21" s="1"/>
  <c r="M55" i="21" a="1"/>
  <c r="M55" i="21" s="1"/>
  <c r="M172" i="21" a="1"/>
  <c r="M172" i="21" s="1"/>
  <c r="M160" i="21" a="1"/>
  <c r="M160" i="21" s="1"/>
  <c r="M159" i="21" s="1"/>
  <c r="L78" i="21" a="1"/>
  <c r="L78" i="21" s="1"/>
  <c r="L30" i="21" a="1"/>
  <c r="L30" i="21" s="1"/>
  <c r="L58" i="21" a="1"/>
  <c r="L58" i="21" s="1"/>
  <c r="M190" i="21" a="1"/>
  <c r="M190" i="21" s="1"/>
  <c r="L108" i="21" a="1"/>
  <c r="L108" i="21" s="1"/>
  <c r="M186" i="21" a="1"/>
  <c r="M186" i="21" s="1"/>
  <c r="M21" i="21" a="1"/>
  <c r="M21" i="21" s="1"/>
  <c r="L201" i="21" a="1"/>
  <c r="L201" i="21" s="1"/>
  <c r="M124" i="21" a="1"/>
  <c r="M124" i="21" s="1"/>
  <c r="M127" i="21" a="1"/>
  <c r="M127" i="21" s="1"/>
  <c r="L153" i="21" a="1"/>
  <c r="L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M82" i="21" a="1"/>
  <c r="M82" i="21" s="1"/>
  <c r="L116" i="21" a="1"/>
  <c r="L116" i="21" s="1"/>
  <c r="L196" i="21" a="1"/>
  <c r="L196" i="21" s="1"/>
  <c r="M129" i="21" a="1"/>
  <c r="M129" i="21" s="1"/>
  <c r="M197" i="21" a="1"/>
  <c r="M197" i="21" s="1"/>
  <c r="P197" i="21" s="1"/>
  <c r="Q197" i="21" s="1"/>
  <c r="L197" i="21" a="1"/>
  <c r="L197" i="21" s="1"/>
  <c r="M199" i="21" a="1"/>
  <c r="M199" i="21" s="1"/>
  <c r="L173" i="21" a="1"/>
  <c r="L173" i="21" s="1"/>
  <c r="M56" i="21" a="1"/>
  <c r="M56" i="21" s="1"/>
  <c r="M115" i="21" a="1"/>
  <c r="M115" i="21" s="1"/>
  <c r="L172" i="21" a="1"/>
  <c r="L172" i="21" s="1"/>
  <c r="M181" i="21" a="1"/>
  <c r="M181" i="21" s="1"/>
  <c r="M150" i="21" a="1"/>
  <c r="M150" i="21" s="1"/>
  <c r="M252" i="21" a="1"/>
  <c r="M252"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L207" i="21" a="1"/>
  <c r="L207" i="21" s="1"/>
  <c r="L205" i="21" s="1"/>
  <c r="L34" i="21" a="1"/>
  <c r="L34" i="21" s="1"/>
  <c r="M185" i="21" a="1"/>
  <c r="M185" i="21" s="1"/>
  <c r="L99" i="21" a="1"/>
  <c r="L99" i="21" s="1"/>
  <c r="L202" i="21" a="1"/>
  <c r="L202" i="21" s="1"/>
  <c r="L253" i="21" a="1"/>
  <c r="L253" i="21" s="1"/>
  <c r="P253" i="21" s="1"/>
  <c r="Q253" i="21" s="1"/>
  <c r="L160" i="21" a="1"/>
  <c r="L160" i="21" s="1"/>
  <c r="L159" i="21" s="1"/>
  <c r="M204" i="21" a="1"/>
  <c r="M204" i="21" s="1"/>
  <c r="L142" i="21" a="1"/>
  <c r="L142" i="21" s="1"/>
  <c r="P142" i="21" s="1"/>
  <c r="Q142" i="21" s="1"/>
  <c r="M187" i="21" a="1"/>
  <c r="M187" i="21" s="1"/>
  <c r="L135" i="21" a="1"/>
  <c r="L135" i="21" s="1"/>
  <c r="M194" i="21" a="1"/>
  <c r="M194" i="21" s="1"/>
  <c r="M114" i="21" a="1"/>
  <c r="M114" i="21" s="1"/>
  <c r="M99" i="21" a="1"/>
  <c r="M99" i="21" s="1"/>
  <c r="L223" i="21" a="1"/>
  <c r="L223" i="21" s="1"/>
  <c r="M156" i="21" a="1"/>
  <c r="M156" i="21" s="1"/>
  <c r="M100" i="21" a="1"/>
  <c r="M100" i="21" s="1"/>
  <c r="P100" i="21" s="1"/>
  <c r="Q100" i="21" s="1"/>
  <c r="L100" i="21" a="1"/>
  <c r="L100" i="21" s="1"/>
  <c r="L25" i="21" a="1"/>
  <c r="L25" i="21" s="1"/>
  <c r="M51" i="21" a="1"/>
  <c r="M51" i="21" s="1"/>
  <c r="M173" i="21" a="1"/>
  <c r="M173" i="21" s="1"/>
  <c r="P173" i="21" s="1"/>
  <c r="Q173" i="21" s="1"/>
  <c r="M182" i="21" a="1"/>
  <c r="M182" i="21" s="1"/>
  <c r="M223" i="21" a="1"/>
  <c r="M223" i="21" s="1"/>
  <c r="L117" i="21" a="1"/>
  <c r="L117" i="21" s="1"/>
  <c r="M168" i="21" a="1"/>
  <c r="M168" i="21" s="1"/>
  <c r="P168" i="21" s="1"/>
  <c r="L124" i="21" a="1"/>
  <c r="L124" i="21" s="1"/>
  <c r="P124" i="21" s="1"/>
  <c r="L56" i="21" a="1"/>
  <c r="L56" i="21" s="1"/>
  <c r="L52" i="21" a="1"/>
  <c r="L52" i="21" s="1"/>
  <c r="L200" i="21" a="1"/>
  <c r="L200" i="21" s="1"/>
  <c r="P200" i="21" s="1"/>
  <c r="Q200" i="21" s="1"/>
  <c r="L126" i="21" a="1"/>
  <c r="L126" i="21" s="1"/>
  <c r="L222" i="21" a="1"/>
  <c r="L222" i="21" s="1"/>
  <c r="M116" i="21" a="1"/>
  <c r="M116" i="21" s="1"/>
  <c r="L91" i="21" a="1"/>
  <c r="L91" i="21" s="1"/>
  <c r="P91" i="21" s="1"/>
  <c r="Q91" i="21" s="1"/>
  <c r="M60" i="21" a="1"/>
  <c r="M60" i="21" s="1"/>
  <c r="M221" i="21" a="1"/>
  <c r="M221" i="21" s="1"/>
  <c r="M224" i="21" a="1"/>
  <c r="M224" i="21" s="1"/>
  <c r="M178" i="21" a="1"/>
  <c r="M178" i="21" s="1"/>
  <c r="L180" i="21" a="1"/>
  <c r="L180" i="21" s="1"/>
  <c r="L179" i="21" a="1"/>
  <c r="L179" i="21" s="1"/>
  <c r="L90" i="21" a="1"/>
  <c r="L90" i="21" s="1"/>
  <c r="L110" i="21" a="1"/>
  <c r="L110" i="21" s="1"/>
  <c r="P110" i="21" s="1"/>
  <c r="Q110" i="21" s="1"/>
  <c r="M53" i="21" a="1"/>
  <c r="M53" i="21" s="1"/>
  <c r="L20" i="21" a="1"/>
  <c r="L20" i="21" s="1"/>
  <c r="M97" i="21" a="1"/>
  <c r="M97" i="21" s="1"/>
  <c r="M96" i="21" s="1"/>
  <c r="L156" i="21" a="1"/>
  <c r="L156" i="21" s="1"/>
  <c r="P156" i="21" s="1"/>
  <c r="Q156" i="21" s="1"/>
  <c r="M110" i="21" a="1"/>
  <c r="M110" i="21" s="1"/>
  <c r="M109" i="21" a="1"/>
  <c r="M109" i="21" s="1"/>
  <c r="M253" i="21" a="1"/>
  <c r="M253" i="21" s="1"/>
  <c r="L89" i="21" a="1"/>
  <c r="L89" i="21" s="1"/>
  <c r="P89" i="21" s="1"/>
  <c r="L51" i="21" a="1"/>
  <c r="L51" i="21" s="1"/>
  <c r="M151" i="21" a="1"/>
  <c r="M151" i="21" s="1"/>
  <c r="M195" i="21" a="1"/>
  <c r="M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L35" i="21" a="1"/>
  <c r="L35" i="21" s="1"/>
  <c r="L28" i="21" s="1"/>
  <c r="L224" i="21" a="1"/>
  <c r="L224" i="21" s="1"/>
  <c r="L60" i="21" a="1"/>
  <c r="L60" i="21" s="1"/>
  <c r="M78" i="21" a="1"/>
  <c r="M78" i="21" s="1"/>
  <c r="L204" i="21" a="1"/>
  <c r="L204" i="21" s="1"/>
  <c r="P204" i="21" s="1"/>
  <c r="Q204" i="21" s="1"/>
  <c r="L81" i="21" a="1"/>
  <c r="L81" i="21" s="1"/>
  <c r="L149" i="21" a="1"/>
  <c r="L149" i="21" s="1"/>
  <c r="L184" i="21" a="1"/>
  <c r="L184" i="21" s="1"/>
  <c r="L114" i="21" a="1"/>
  <c r="L114" i="21" s="1"/>
  <c r="P114" i="21" s="1"/>
  <c r="Q114" i="21" s="1"/>
  <c r="L127" i="21" a="1"/>
  <c r="L127" i="21" s="1"/>
  <c r="M177" i="21" a="1"/>
  <c r="M177" i="21" s="1"/>
  <c r="L182" i="21" a="1"/>
  <c r="L182" i="21" s="1"/>
  <c r="M79" i="21" a="1"/>
  <c r="M79" i="21" s="1"/>
  <c r="P79" i="21" s="1"/>
  <c r="Q79" i="21" s="1"/>
  <c r="M202" i="21" a="1"/>
  <c r="M202" i="21" s="1"/>
  <c r="L109" i="21" a="1"/>
  <c r="L109" i="21" s="1"/>
  <c r="P109" i="21" s="1"/>
  <c r="Q109" i="21" s="1"/>
  <c r="M188" i="21" a="1"/>
  <c r="M188" i="21" s="1"/>
  <c r="M135" i="21" a="1"/>
  <c r="M135" i="21" s="1"/>
  <c r="P135" i="21" s="1"/>
  <c r="Q135" i="21" s="1"/>
  <c r="L24" i="21" a="1"/>
  <c r="L24" i="21" s="1"/>
  <c r="L112" i="21" a="1"/>
  <c r="L112" i="21" s="1"/>
  <c r="L187" i="21" a="1"/>
  <c r="L187" i="21" s="1"/>
  <c r="L183" i="21" a="1"/>
  <c r="L183" i="21" s="1"/>
  <c r="P183" i="21" s="1"/>
  <c r="Q183" i="21" s="1"/>
  <c r="L79" i="21" a="1"/>
  <c r="L79" i="21" s="1"/>
  <c r="M58" i="21" a="1"/>
  <c r="M58" i="21" s="1"/>
  <c r="P58" i="21" s="1"/>
  <c r="Q58" i="21" s="1"/>
  <c r="M23" i="21" a="1"/>
  <c r="M23" i="21" s="1"/>
  <c r="M20" i="21" a="1"/>
  <c r="M20" i="21" s="1"/>
  <c r="L150" i="21" a="1"/>
  <c r="L150" i="21" s="1"/>
  <c r="L18" i="21" a="1"/>
  <c r="L18" i="21" s="1"/>
  <c r="P18" i="21" s="1"/>
  <c r="Q18" i="21" s="1"/>
  <c r="M126" i="21" a="1"/>
  <c r="M126" i="21" s="1"/>
  <c r="L23" i="21" a="1"/>
  <c r="L23" i="21" s="1"/>
  <c r="L115" i="21" a="1"/>
  <c r="L115" i="21" s="1"/>
  <c r="L203" i="21" a="1"/>
  <c r="L203" i="21" s="1"/>
  <c r="P203" i="21" s="1"/>
  <c r="Q203" i="21" s="1"/>
  <c r="L118" i="21" a="1"/>
  <c r="L118" i="21" s="1"/>
  <c r="M201" i="21" a="1"/>
  <c r="M201" i="21" s="1"/>
  <c r="M59" i="21" a="1"/>
  <c r="M59" i="21" s="1"/>
  <c r="M24" i="21" a="1"/>
  <c r="M24" i="21" s="1"/>
  <c r="P24" i="21" s="1"/>
  <c r="Q24" i="21" s="1"/>
  <c r="L119" i="21" a="1"/>
  <c r="L119" i="21" s="1"/>
  <c r="L190" i="21" a="1"/>
  <c r="L190" i="21" s="1"/>
  <c r="P190" i="21" s="1"/>
  <c r="Q190" i="21" s="1"/>
  <c r="L54" i="21" a="1"/>
  <c r="L54" i="21" s="1"/>
  <c r="M81" i="21" a="1"/>
  <c r="M81" i="21" s="1"/>
  <c r="L129" i="21" a="1"/>
  <c r="L129" i="21" s="1"/>
  <c r="L177" i="21" a="1"/>
  <c r="L177" i="21" s="1"/>
  <c r="M108" i="21" a="1"/>
  <c r="M108" i="21" s="1"/>
  <c r="L113" i="21" a="1"/>
  <c r="L113" i="21" s="1"/>
  <c r="P113" i="21" s="1"/>
  <c r="Q113" i="21" s="1"/>
  <c r="L166" i="21" a="1"/>
  <c r="L166" i="21" s="1"/>
  <c r="L221" i="21" a="1"/>
  <c r="L221" i="21" s="1"/>
  <c r="M192" i="21" a="1"/>
  <c r="M192" i="21" s="1"/>
  <c r="M180" i="21" a="1"/>
  <c r="M180" i="21" s="1"/>
  <c r="P180" i="21" s="1"/>
  <c r="Q180" i="21" s="1"/>
  <c r="L122" i="21" a="1"/>
  <c r="L122" i="21" s="1"/>
  <c r="M119" i="21" a="1"/>
  <c r="M119" i="21" s="1"/>
  <c r="P119" i="21" s="1"/>
  <c r="Q119" i="21" s="1"/>
  <c r="L178" i="21" a="1"/>
  <c r="L178" i="21" s="1"/>
  <c r="M219" i="21" a="1"/>
  <c r="M219" i="21" s="1"/>
  <c r="L235" i="21" a="1"/>
  <c r="L235" i="21" s="1"/>
  <c r="M226" i="21" a="1"/>
  <c r="M226" i="21" s="1"/>
  <c r="M225" i="21" s="1"/>
  <c r="L47" i="21" a="1"/>
  <c r="L47" i="21" s="1"/>
  <c r="L76" i="21" a="1"/>
  <c r="L76" i="21" s="1"/>
  <c r="M62" i="21" a="1"/>
  <c r="M62" i="21" s="1"/>
  <c r="N121" i="21" a="1"/>
  <c r="N121" i="21" s="1"/>
  <c r="N225" i="21" a="1"/>
  <c r="N225" i="21" s="1"/>
  <c r="M84" i="21" a="1"/>
  <c r="M84" i="21" s="1"/>
  <c r="L105" i="21" a="1"/>
  <c r="L105" i="21" s="1"/>
  <c r="L104" i="21" s="1"/>
  <c r="I170" i="21"/>
  <c r="I167" i="21" s="1"/>
  <c r="I165" i="21" s="1"/>
  <c r="I161" i="21" s="1"/>
  <c r="M146" i="21" a="1"/>
  <c r="M146" i="21" s="1"/>
  <c r="M147" i="21" a="1"/>
  <c r="M147" i="21" s="1"/>
  <c r="M145" i="21" a="1"/>
  <c r="M145" i="21" s="1"/>
  <c r="L147" i="21" a="1"/>
  <c r="L147" i="21" s="1"/>
  <c r="L145" i="21" a="1"/>
  <c r="L145" i="21" s="1"/>
  <c r="L146" i="21" a="1"/>
  <c r="L146" i="21" s="1"/>
  <c r="N144" i="21" a="1"/>
  <c r="N144" i="21" s="1"/>
  <c r="P202" i="21"/>
  <c r="Q202" i="21" s="1"/>
  <c r="P224" i="21"/>
  <c r="Q224" i="21" s="1"/>
  <c r="N165" i="21" a="1"/>
  <c r="N165" i="21" s="1"/>
  <c r="N170" i="21" a="1"/>
  <c r="N170" i="21" s="1"/>
  <c r="L72" i="21" a="1"/>
  <c r="L72" i="21" s="1"/>
  <c r="M75" i="21" a="1"/>
  <c r="M75" i="21" s="1"/>
  <c r="P75" i="21" s="1"/>
  <c r="Q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N167" i="21" a="1"/>
  <c r="N167" i="21" s="1"/>
  <c r="N77" i="21" a="1"/>
  <c r="N77" i="21" s="1"/>
  <c r="N17" i="21" a="1"/>
  <c r="N17" i="21" s="1"/>
  <c r="N19" i="21" a="1"/>
  <c r="N19" i="21" s="1"/>
  <c r="N44" i="21" a="1"/>
  <c r="N44" i="21" s="1"/>
  <c r="L84" i="21" a="1"/>
  <c r="L84" i="21" s="1"/>
  <c r="L83" i="21" s="1"/>
  <c r="M85" i="21" a="1"/>
  <c r="M85" i="21" s="1"/>
  <c r="M95" i="21" a="1"/>
  <c r="M95" i="21" s="1"/>
  <c r="M94" i="21" s="1"/>
  <c r="M103" i="21" a="1"/>
  <c r="M103" i="21" s="1"/>
  <c r="M102" i="21" s="1"/>
  <c r="L137" i="21" a="1"/>
  <c r="L137" i="21" s="1"/>
  <c r="P137" i="21" s="1"/>
  <c r="Q137" i="21" s="1"/>
  <c r="M138" i="21" a="1"/>
  <c r="M138" i="21" s="1"/>
  <c r="M136" i="21" s="1"/>
  <c r="M133" i="21" a="1"/>
  <c r="M133" i="21" s="1"/>
  <c r="M105" i="21" a="1"/>
  <c r="M105" i="21" s="1"/>
  <c r="M104" i="21" s="1"/>
  <c r="L169" i="21" a="1"/>
  <c r="L169" i="21" s="1"/>
  <c r="P195" i="21"/>
  <c r="Q195"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P227" i="21" s="1"/>
  <c r="Q227" i="21" s="1"/>
  <c r="L252" i="21" a="1"/>
  <c r="L252" i="21" s="1"/>
  <c r="L228" i="21" a="1"/>
  <c r="L228" i="21" s="1"/>
  <c r="P228" i="21" s="1"/>
  <c r="Q228" i="21" s="1"/>
  <c r="M66" i="21" a="1"/>
  <c r="M66" i="21" s="1"/>
  <c r="P66" i="21" s="1"/>
  <c r="Q66" i="21" s="1"/>
  <c r="L67" i="21" a="1"/>
  <c r="L67" i="21" s="1"/>
  <c r="L71" i="21" a="1"/>
  <c r="L71" i="21" s="1"/>
  <c r="L73" i="21" a="1"/>
  <c r="L73" i="21" s="1"/>
  <c r="P73" i="21" s="1"/>
  <c r="Q73" i="21" s="1"/>
  <c r="L74" i="21" a="1"/>
  <c r="L74" i="21" s="1"/>
  <c r="M70" i="21" a="1"/>
  <c r="M70" i="21" s="1"/>
  <c r="M68" i="21" a="1"/>
  <c r="M68" i="21" s="1"/>
  <c r="N61" i="21" a="1"/>
  <c r="N61" i="21" s="1"/>
  <c r="N159" i="21" a="1"/>
  <c r="N159"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M169" i="21" a="1"/>
  <c r="M169" i="21" s="1"/>
  <c r="P187" i="21"/>
  <c r="Q187" i="21" s="1"/>
  <c r="P155" i="21"/>
  <c r="Q155" i="21" s="1"/>
  <c r="P153" i="21"/>
  <c r="P171" i="21"/>
  <c r="P188" i="21"/>
  <c r="Q188" i="21" s="1"/>
  <c r="P192" i="21"/>
  <c r="Q192" i="21" s="1"/>
  <c r="P185" i="21"/>
  <c r="Q185" i="21" s="1"/>
  <c r="P133" i="21"/>
  <c r="Q154" i="21"/>
  <c r="P182" i="21"/>
  <c r="Q182" i="21" s="1"/>
  <c r="P158" i="21"/>
  <c r="Q158" i="21" s="1"/>
  <c r="P150" i="21"/>
  <c r="Q150" i="21" s="1"/>
  <c r="P120" i="21"/>
  <c r="Q120" i="21" s="1"/>
  <c r="P181" i="21"/>
  <c r="Q181" i="21" s="1"/>
  <c r="P179" i="21"/>
  <c r="Q179" i="21" s="1"/>
  <c r="Q124" i="21"/>
  <c r="P129" i="21"/>
  <c r="P128" i="21" s="1"/>
  <c r="P172" i="21"/>
  <c r="Q172" i="21" s="1"/>
  <c r="P166" i="21"/>
  <c r="P165" i="21" s="1"/>
  <c r="P164" i="21"/>
  <c r="Q164" i="21" s="1"/>
  <c r="P211" i="21"/>
  <c r="Q211" i="21" s="1"/>
  <c r="P140" i="21"/>
  <c r="P139" i="21" s="1"/>
  <c r="P217" i="21"/>
  <c r="Q217" i="21" s="1"/>
  <c r="P151" i="21"/>
  <c r="Q151" i="21" s="1"/>
  <c r="P216" i="21"/>
  <c r="Q216" i="21" s="1"/>
  <c r="P143" i="21"/>
  <c r="Q143" i="21" s="1"/>
  <c r="P81" i="21"/>
  <c r="Q81" i="21" s="1"/>
  <c r="P206" i="21"/>
  <c r="Q206" i="21" s="1"/>
  <c r="P215" i="21"/>
  <c r="Q215" i="21" s="1"/>
  <c r="P210" i="21"/>
  <c r="Q210" i="21" s="1"/>
  <c r="P208" i="21"/>
  <c r="Q208" i="21" s="1"/>
  <c r="P209" i="21"/>
  <c r="Q209" i="21" s="1"/>
  <c r="P213" i="21"/>
  <c r="Q213" i="21" s="1"/>
  <c r="P212" i="21"/>
  <c r="Q212" i="21" s="1"/>
  <c r="P214" i="21"/>
  <c r="Q214" i="21" s="1"/>
  <c r="P223" i="21"/>
  <c r="Q223" i="21" s="1"/>
  <c r="P52" i="21"/>
  <c r="Q52" i="21" s="1"/>
  <c r="P64" i="21"/>
  <c r="Q64" i="21" s="1"/>
  <c r="P60" i="21"/>
  <c r="Q60" i="21" s="1"/>
  <c r="P59" i="21"/>
  <c r="Q59" i="21" s="1"/>
  <c r="P53" i="21"/>
  <c r="Q53" i="21" s="1"/>
  <c r="P51" i="21"/>
  <c r="Q51" i="21" s="1"/>
  <c r="P54" i="21"/>
  <c r="Q54" i="21" s="1"/>
  <c r="P222" i="21"/>
  <c r="Q222" i="21" s="1"/>
  <c r="P118" i="21"/>
  <c r="Q118" i="21" s="1"/>
  <c r="P62" i="21"/>
  <c r="Q62" i="21" s="1"/>
  <c r="P55" i="21"/>
  <c r="Q55" i="21" s="1"/>
  <c r="P235" i="21"/>
  <c r="Q235" i="21" s="1"/>
  <c r="P115" i="21"/>
  <c r="Q115" i="21" s="1"/>
  <c r="P47" i="21"/>
  <c r="P117" i="21"/>
  <c r="Q117" i="21" s="1"/>
  <c r="P90" i="21"/>
  <c r="Q90" i="21" s="1"/>
  <c r="P116" i="21"/>
  <c r="Q116" i="21" s="1"/>
  <c r="P112" i="21"/>
  <c r="Q112" i="21" s="1"/>
  <c r="P127" i="21"/>
  <c r="Q127" i="21" s="1"/>
  <c r="P101" i="21"/>
  <c r="Q101" i="21" s="1"/>
  <c r="L98" i="21"/>
  <c r="P108" i="21"/>
  <c r="Q108" i="21" s="1"/>
  <c r="P196" i="21"/>
  <c r="Q196" i="21" s="1"/>
  <c r="P111" i="21"/>
  <c r="Q111" i="21" s="1"/>
  <c r="P99" i="21"/>
  <c r="Q99" i="21" s="1"/>
  <c r="P42" i="21"/>
  <c r="Q42" i="21" s="1"/>
  <c r="P245" i="21"/>
  <c r="Q245" i="21" s="1"/>
  <c r="P250" i="21"/>
  <c r="Q250" i="21" s="1"/>
  <c r="P247" i="21"/>
  <c r="Q247" i="21" s="1"/>
  <c r="P249" i="21"/>
  <c r="Q249" i="21" s="1"/>
  <c r="P37" i="21"/>
  <c r="Q37" i="21" s="1"/>
  <c r="P27" i="21"/>
  <c r="Q27" i="21" s="1"/>
  <c r="P36" i="21"/>
  <c r="Q36" i="21" s="1"/>
  <c r="P25" i="21"/>
  <c r="Q25" i="21" s="1"/>
  <c r="P33" i="21"/>
  <c r="Q33" i="21" s="1"/>
  <c r="P41" i="21"/>
  <c r="Q41" i="21" s="1"/>
  <c r="P244" i="21"/>
  <c r="Q244" i="21" s="1"/>
  <c r="P242" i="21"/>
  <c r="Q242" i="21" s="1"/>
  <c r="P40" i="21"/>
  <c r="Q40" i="21" s="1"/>
  <c r="P31" i="21"/>
  <c r="Q31" i="21" s="1"/>
  <c r="P125" i="21"/>
  <c r="Q125" i="21" s="1"/>
  <c r="P246" i="21"/>
  <c r="Q246" i="21" s="1"/>
  <c r="P38" i="21"/>
  <c r="Q38" i="21" s="1"/>
  <c r="P251" i="21"/>
  <c r="Q251" i="21" s="1"/>
  <c r="P248" i="21"/>
  <c r="Q248" i="21" s="1"/>
  <c r="P241" i="21"/>
  <c r="Q241" i="21" s="1"/>
  <c r="P39" i="21"/>
  <c r="Q39" i="21" s="1"/>
  <c r="P34" i="21"/>
  <c r="Q34" i="21" s="1"/>
  <c r="P30" i="21"/>
  <c r="Q30" i="21" s="1"/>
  <c r="P243" i="21"/>
  <c r="Q243" i="21" s="1"/>
  <c r="P43" i="21"/>
  <c r="Q43" i="21" s="1"/>
  <c r="P32" i="21"/>
  <c r="Q32" i="21" s="1"/>
  <c r="P126" i="21"/>
  <c r="Q126" i="21" s="1"/>
  <c r="P21" i="21"/>
  <c r="Q21" i="21" s="1"/>
  <c r="P162" i="21"/>
  <c r="P238" i="21"/>
  <c r="Q238" i="21" s="1"/>
  <c r="M28" i="21"/>
  <c r="L50" i="21"/>
  <c r="M220" i="21"/>
  <c r="P194" i="21"/>
  <c r="Q194" i="21" s="1"/>
  <c r="L193" i="21"/>
  <c r="P107" i="21"/>
  <c r="P78" i="21"/>
  <c r="L77" i="21"/>
  <c r="M198" i="21"/>
  <c r="P29" i="21"/>
  <c r="Q29" i="21" s="1"/>
  <c r="M88" i="21"/>
  <c r="L148" i="21"/>
  <c r="P97" i="21"/>
  <c r="Q97" i="21" s="1"/>
  <c r="L96" i="21"/>
  <c r="M123" i="21"/>
  <c r="P175" i="21"/>
  <c r="Q175" i="21" s="1"/>
  <c r="L174" i="21"/>
  <c r="L123" i="21"/>
  <c r="P199" i="21"/>
  <c r="Q199" i="21" s="1"/>
  <c r="L80" i="21"/>
  <c r="L17" i="21"/>
  <c r="P122" i="21"/>
  <c r="P121" i="21" s="1"/>
  <c r="L121" i="21"/>
  <c r="P231" i="21"/>
  <c r="Q231" i="21" s="1"/>
  <c r="M229" i="21"/>
  <c r="P234" i="21"/>
  <c r="Q234" i="21" s="1"/>
  <c r="P237" i="21"/>
  <c r="Q237" i="21" s="1"/>
  <c r="P233" i="21"/>
  <c r="Q233" i="21" s="1"/>
  <c r="P240" i="21"/>
  <c r="Q240" i="21" s="1"/>
  <c r="P239" i="21"/>
  <c r="Q239" i="21" s="1"/>
  <c r="P236" i="21"/>
  <c r="Q236" i="21" s="1"/>
  <c r="P232" i="21"/>
  <c r="Q232" i="21" s="1"/>
  <c r="M205" i="21"/>
  <c r="CD13" i="20"/>
  <c r="CC9" i="20"/>
  <c r="CC12" i="20"/>
  <c r="M83" i="21" l="1"/>
  <c r="M46" i="21"/>
  <c r="P72" i="21"/>
  <c r="Q72" i="21" s="1"/>
  <c r="P221" i="21"/>
  <c r="Q221" i="21" s="1"/>
  <c r="P177" i="21"/>
  <c r="Q177" i="21" s="1"/>
  <c r="L19" i="21"/>
  <c r="P20" i="21"/>
  <c r="P76" i="21"/>
  <c r="Q76" i="21" s="1"/>
  <c r="M80" i="21"/>
  <c r="P74" i="21"/>
  <c r="Q74" i="21" s="1"/>
  <c r="M152" i="21"/>
  <c r="P67" i="21"/>
  <c r="Q67" i="21" s="1"/>
  <c r="P65" i="21"/>
  <c r="Q65" i="21" s="1"/>
  <c r="L198" i="21"/>
  <c r="P82" i="21"/>
  <c r="Q82" i="21" s="1"/>
  <c r="L88" i="21"/>
  <c r="L152" i="21"/>
  <c r="L220" i="21"/>
  <c r="P184" i="21"/>
  <c r="Q184" i="21" s="1"/>
  <c r="P45" i="21"/>
  <c r="P44" i="21" s="1"/>
  <c r="L106" i="21"/>
  <c r="M176" i="21"/>
  <c r="M170"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70" i="21" s="1"/>
  <c r="L167" i="21" s="1"/>
  <c r="L165" i="21" s="1"/>
  <c r="L161" i="21" s="1"/>
  <c r="L144" i="21" s="1"/>
  <c r="L141" i="21" s="1"/>
  <c r="L139"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P169" i="21"/>
  <c r="Q169" i="21" s="1"/>
  <c r="L136" i="21"/>
  <c r="Q168" i="21"/>
  <c r="Q171" i="21"/>
  <c r="P141" i="21"/>
  <c r="P152" i="21"/>
  <c r="Q152" i="21" s="1"/>
  <c r="P161" i="21"/>
  <c r="Q162" i="21"/>
  <c r="Q166" i="21"/>
  <c r="P136" i="21"/>
  <c r="Q133" i="21"/>
  <c r="P132" i="21"/>
  <c r="Q129" i="21"/>
  <c r="Q153" i="21"/>
  <c r="P123" i="21"/>
  <c r="Q122" i="21"/>
  <c r="P106" i="21"/>
  <c r="P77" i="21"/>
  <c r="Q140" i="21"/>
  <c r="P46" i="21"/>
  <c r="Q46" i="21" s="1"/>
  <c r="Q47" i="21"/>
  <c r="Q78" i="21"/>
  <c r="P88" i="21"/>
  <c r="Q89" i="21"/>
  <c r="Q107" i="21"/>
  <c r="P98" i="21"/>
  <c r="Q98" i="21" s="1"/>
  <c r="Q20" i="21"/>
  <c r="P96" i="21"/>
  <c r="Q96" i="21" s="1"/>
  <c r="P17" i="21"/>
  <c r="Q17" i="21" s="1"/>
  <c r="P189" i="21"/>
  <c r="Q189" i="21" s="1"/>
  <c r="Q176" i="21"/>
  <c r="P174" i="21"/>
  <c r="Q174" i="21" s="1"/>
  <c r="P193" i="21"/>
  <c r="Q193" i="21" s="1"/>
  <c r="P80" i="21"/>
  <c r="Q80" i="21" s="1"/>
  <c r="P229" i="21"/>
  <c r="Q229" i="21" s="1"/>
  <c r="Q205" i="21"/>
  <c r="CD12" i="20"/>
  <c r="CD9" i="20"/>
  <c r="CE13" i="20"/>
  <c r="P220" i="21" l="1"/>
  <c r="Q220" i="21" s="1"/>
  <c r="P159" i="21"/>
  <c r="Q159" i="21" s="1"/>
  <c r="M144" i="21"/>
  <c r="M141" i="21" s="1"/>
  <c r="M139" i="21" s="1"/>
  <c r="Q45" i="21"/>
  <c r="Q149" i="21"/>
  <c r="P28" i="21"/>
  <c r="Q28" i="21" s="1"/>
  <c r="P19" i="21"/>
  <c r="Q95" i="21"/>
  <c r="P198" i="21"/>
  <c r="Q198" i="21" s="1"/>
  <c r="Q93" i="21"/>
  <c r="P130" i="21"/>
  <c r="Q130" i="21" s="1"/>
  <c r="Q103" i="21"/>
  <c r="P144" i="21"/>
  <c r="Q144" i="21" s="1"/>
  <c r="Q105" i="21"/>
  <c r="P50" i="21"/>
  <c r="Q50" i="21" s="1"/>
  <c r="P61" i="21"/>
  <c r="Q61" i="21" s="1"/>
  <c r="Q225" i="21"/>
  <c r="P86" i="21"/>
  <c r="Q86" i="21" s="1"/>
  <c r="P83" i="21"/>
  <c r="Q83" i="21" s="1"/>
  <c r="P167" i="21"/>
  <c r="P170" i="21"/>
  <c r="Q141" i="21"/>
  <c r="Q136" i="21"/>
  <c r="L132" i="21"/>
  <c r="M132" i="21"/>
  <c r="Q104" i="21"/>
  <c r="Q102" i="21"/>
  <c r="Q148" i="21"/>
  <c r="Q121" i="21"/>
  <c r="Q123" i="21"/>
  <c r="Q44" i="21"/>
  <c r="Q88" i="21"/>
  <c r="CF13" i="20"/>
  <c r="CE12" i="20"/>
  <c r="CE9" i="20"/>
  <c r="M130" i="21" l="1"/>
  <c r="M128" i="21" s="1"/>
  <c r="M44" i="21" s="1"/>
  <c r="L130" i="21"/>
  <c r="L128" i="21" s="1"/>
  <c r="L44" i="21" s="1"/>
  <c r="Q170"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<sst xmlns="http://schemas.openxmlformats.org/spreadsheetml/2006/main" count="29468" uniqueCount="2084">
  <si>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</si>
  <si>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</si>
  <si>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</si>
  <si>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</si>
  <si>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</si>
  <si>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</si>
  <si>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</si>
  <si>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</si>
  <si>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</si>
  <si>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</si>
  <si>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</si>
  <si>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</si>
  <si>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</si>
  <si>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</si>
  <si>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</si>
  <si>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</si>
  <si>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</si>
  <si>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</si>
  <si>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</si>
  <si>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</si>
  <si>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</si>
  <si>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</si>
  <si>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</si>
  <si>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</si>
  <si>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</si>
  <si>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</si>
  <si>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</si>
  <si>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</si>
  <si>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</si>
  <si>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</si>
  <si>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</si>
  <si>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</si>
  <si>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</si>
  <si>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</si>
  <si>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</si>
  <si>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</si>
  <si>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</si>
  <si>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</si>
  <si>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</si>
  <si>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</si>
  <si>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</si>
  <si>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</si>
  <si>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</si>
  <si>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</si>
  <si>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</si>
  <si>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</si>
  <si>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</si>
  <si>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</si>
  <si>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</si>
  <si>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</si>
  <si>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</si>
  <si>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</si>
  <si>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</si>
  <si>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</si>
  <si>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</si>
  <si>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</si>
  <si>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</si>
  <si>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</si>
  <si>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</si>
  <si>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</si>
  <si>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</si>
  <si>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</si>
  <si>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</si>
  <si>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</si>
  <si>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</si>
  <si>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</si>
  <si>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</si>
  <si>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</si>
  <si>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</si>
  <si>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</si>
  <si>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</si>
  <si>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</si>
  <si>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</si>
  <si>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</si>
  <si>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</si>
  <si>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</si>
  <si>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</si>
  <si>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</si>
  <si>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</si>
  <si>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</si>
  <si>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</si>
  <si>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</si>
  <si>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</si>
  <si>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</si>
  <si>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</si>
  <si>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</si>
  <si>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</si>
  <si>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</si>
  <si>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</si>
  <si>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</si>
  <si>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</si>
  <si>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</si>
  <si>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</si>
  <si>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</si>
  <si>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</si>
  <si>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</si>
  <si>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</si>
  <si>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</si>
  <si>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</si>
  <si>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</si>
  <si>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</si>
  <si>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</si>
  <si>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</si>
  <si>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</si>
  <si>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</si>
  <si>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</si>
  <si>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</si>
  <si>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</si>
  <si>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</si>
  <si>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</si>
  <si>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</si>
  <si>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</si>
  <si>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</si>
  <si>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</si>
  <si>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</si>
  <si>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</si>
  <si>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</si>
  <si>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</si>
  <si>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</si>
  <si>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</si>
  <si>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</si>
  <si>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</si>
  <si>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</si>
  <si>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</si>
  <si>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</si>
  <si>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</si>
  <si>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</si>
  <si>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</si>
  <si>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</si>
  <si>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</si>
  <si>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</si>
  <si>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</si>
  <si>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</si>
  <si>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</si>
  <si>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</si>
  <si>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</si>
  <si>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</si>
  <si>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</si>
  <si>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</si>
  <si>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</si>
  <si>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</si>
  <si>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</si>
  <si>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</si>
  <si>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</si>
  <si>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</si>
  <si>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</si>
  <si>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</si>
  <si>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</si>
  <si>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</si>
  <si>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</si>
  <si>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</si>
  <si>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</si>
  <si>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</si>
  <si>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</si>
  <si>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</si>
  <si>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</si>
  <si>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</si>
  <si>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</si>
  <si>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</si>
  <si>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</si>
  <si>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</si>
  <si>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</si>
  <si>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</si>
  <si>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</si>
  <si>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</si>
  <si>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</si>
  <si>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</si>
  <si>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</si>
  <si>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</si>
  <si>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</si>
  <si>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</si>
  <si>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</si>
  <si>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</si>
  <si>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</si>
  <si>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</si>
  <si>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</si>
  <si>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</si>
  <si>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</si>
  <si>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</si>
  <si>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</si>
  <si>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</si>
  <si>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</si>
  <si>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</si>
  <si>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</si>
  <si>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</si>
  <si>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</si>
  <si>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</si>
  <si>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</si>
  <si>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</si>
  <si>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</si>
  <si>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</si>
  <si>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</si>
  <si>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</si>
  <si>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</si>
  <si>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</si>
  <si>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</si>
  <si>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</si>
  <si>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</si>
  <si>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</si>
  <si>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</si>
  <si>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</si>
  <si>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</si>
  <si>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</si>
  <si>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</si>
  <si>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</si>
  <si>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</si>
  <si>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</si>
  <si>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</si>
  <si>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</si>
  <si>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</si>
  <si>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</si>
  <si>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</si>
  <si>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</si>
  <si>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</si>
  <si>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</si>
  <si>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</si>
  <si>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</si>
  <si>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</si>
  <si>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</si>
  <si>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</si>
  <si>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</si>
  <si>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</si>
  <si>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</si>
  <si>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</si>
  <si>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</si>
  <si>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</si>
  <si>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</si>
  <si>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</si>
  <si>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</si>
  <si>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</si>
  <si>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</si>
  <si>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</si>
  <si>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</si>
  <si>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</si>
  <si>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</si>
  <si>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</si>
  <si>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</si>
  <si>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</si>
  <si>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</si>
  <si>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</si>
  <si>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</si>
  <si>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</si>
  <si>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</si>
  <si>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</si>
  <si>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</si>
  <si>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</si>
  <si>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</si>
  <si>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</si>
  <si>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</si>
  <si>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</si>
  <si>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</si>
  <si>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</si>
  <si>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</si>
  <si>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</si>
  <si>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</si>
  <si>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</si>
  <si>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</si>
  <si>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</si>
  <si>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</si>
  <si>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</si>
  <si>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</si>
  <si>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</si>
  <si>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</si>
  <si>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</si>
  <si>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</si>
  <si>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</si>
  <si>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</si>
  <si>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</si>
  <si>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</si>
  <si>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</si>
  <si>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</si>
  <si>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</si>
  <si>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</si>
  <si>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</si>
  <si>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</si>
  <si>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</si>
  <si>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</si>
  <si>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</si>
  <si>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</si>
  <si>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</si>
  <si>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</si>
  <si>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</si>
  <si>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</si>
  <si>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</si>
  <si>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</si>
  <si>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</si>
  <si>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</si>
  <si>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</si>
  <si>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</si>
  <si>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</si>
  <si>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</si>
  <si>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</si>
  <si>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</si>
  <si>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</si>
  <si>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</si>
  <si>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</si>
  <si>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</si>
  <si>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</si>
  <si>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</si>
  <si>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</si>
  <si>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</si>
  <si>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</si>
  <si>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</si>
  <si>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</si>
  <si>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</si>
  <si>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</si>
  <si>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</si>
  <si>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</si>
  <si>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</si>
  <si>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</si>
  <si>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</si>
  <si>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</si>
  <si>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</si>
  <si>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</si>
  <si>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</si>
  <si>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</si>
  <si>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</si>
  <si>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</si>
  <si>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</si>
  <si>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</si>
  <si>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</si>
  <si>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</si>
  <si>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</si>
  <si>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</si>
  <si>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</si>
  <si>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</si>
  <si>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</si>
  <si>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</si>
  <si>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</si>
  <si>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</si>
  <si>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</si>
  <si>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</si>
  <si>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</si>
  <si>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</si>
  <si>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</si>
  <si>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</si>
  <si>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</si>
  <si>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</si>
  <si>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</si>
  <si>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</si>
  <si>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</si>
  <si>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</si>
  <si>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</si>
  <si>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</si>
  <si>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</si>
  <si>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</si>
  <si>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</si>
  <si>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</si>
  <si>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</si>
  <si>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</si>
  <si>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</si>
  <si>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</si>
  <si>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</si>
  <si>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</si>
  <si>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</si>
  <si>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</si>
  <si>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</si>
  <si>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</si>
  <si>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</si>
  <si>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</si>
  <si>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</si>
  <si>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</si>
  <si>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</si>
  <si>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</si>
  <si>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</si>
  <si>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</si>
  <si>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</si>
  <si>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</si>
  <si>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</si>
  <si>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</si>
  <si>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</si>
  <si>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</si>
  <si>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</si>
  <si>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</si>
  <si>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</si>
  <si>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</si>
  <si>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</si>
  <si>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</si>
  <si>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</si>
  <si>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</si>
  <si>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</si>
  <si>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</si>
  <si>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</si>
  <si>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</si>
  <si>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</si>
  <si>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</si>
  <si>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</si>
  <si>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</si>
  <si>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</si>
  <si>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</si>
  <si>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</si>
  <si>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</si>
  <si>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</si>
  <si>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</si>
  <si>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</si>
  <si>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</si>
  <si>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</si>
  <si>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</si>
  <si>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</si>
  <si>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</si>
  <si>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</si>
  <si>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</si>
  <si>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</si>
  <si>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</si>
  <si>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</si>
  <si>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</si>
  <si>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</si>
  <si>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</si>
  <si>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</si>
  <si>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</si>
  <si>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</si>
  <si>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</si>
  <si>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</si>
  <si>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</si>
  <si>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</si>
  <si>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</si>
  <si>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</si>
  <si>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</si>
  <si>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</si>
  <si>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</si>
  <si>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</si>
  <si>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</si>
  <si>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</si>
  <si>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</si>
  <si>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</si>
  <si>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</si>
  <si>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</si>
  <si>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</si>
  <si>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</si>
  <si>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</si>
  <si>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</si>
  <si>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</si>
  <si>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</si>
  <si>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</si>
  <si>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</si>
  <si>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</si>
  <si>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</si>
  <si>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</si>
  <si>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</si>
  <si>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</si>
  <si>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</si>
  <si>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</si>
  <si>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</si>
  <si>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</si>
  <si>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</si>
  <si>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</si>
  <si>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</si>
  <si>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</si>
  <si>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</si>
  <si>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</si>
  <si>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</si>
  <si>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</si>
  <si>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</si>
  <si>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</si>
  <si>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</si>
  <si>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</si>
  <si>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</si>
  <si>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</si>
  <si>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</si>
  <si>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</si>
  <si>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</si>
  <si>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</si>
  <si>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</si>
  <si>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</si>
  <si>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</si>
  <si>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</si>
  <si>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</si>
  <si>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</si>
  <si>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</si>
  <si>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</si>
  <si>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</si>
  <si>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</si>
  <si>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</si>
  <si>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</si>
  <si>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</si>
  <si>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</si>
  <si>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</si>
  <si>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</si>
  <si>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</si>
  <si>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</si>
  <si>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</si>
  <si>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</si>
  <si>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</si>
  <si>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</si>
  <si>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</si>
  <si>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</si>
  <si>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</si>
  <si>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</si>
  <si>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</si>
  <si>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</si>
  <si>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</si>
  <si>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</si>
  <si>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</si>
  <si>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</si>
  <si>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</si>
  <si>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</si>
  <si>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</si>
  <si>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</si>
  <si>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</si>
  <si>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</si>
  <si>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</si>
  <si>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</si>
  <si>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</si>
  <si>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</si>
  <si>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</si>
  <si>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</si>
  <si>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</si>
  <si>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</si>
  <si>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</si>
  <si>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</si>
  <si>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</si>
  <si>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</si>
  <si>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</si>
  <si>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</si>
  <si>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</si>
  <si>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</si>
  <si>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</si>
  <si>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</si>
  <si>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</si>
  <si>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</si>
  <si>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</si>
  <si>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</si>
  <si>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</si>
  <si>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</si>
  <si>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</si>
  <si>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</si>
  <si>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</si>
  <si>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</si>
  <si>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</si>
  <si>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</si>
  <si>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</si>
  <si>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</si>
  <si>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</si>
  <si>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</si>
  <si>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</si>
  <si>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</si>
  <si>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</si>
  <si>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</si>
  <si>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</si>
  <si>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</si>
  <si>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</si>
  <si>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</si>
  <si>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</si>
  <si>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</si>
  <si>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</si>
  <si>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</si>
  <si>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</si>
  <si>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</si>
  <si>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</si>
  <si>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</si>
  <si>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</si>
  <si>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</si>
  <si>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</si>
  <si>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</si>
  <si>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</si>
  <si>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</si>
  <si>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</si>
  <si>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</si>
  <si>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</si>
  <si>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</si>
  <si>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</si>
  <si>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</si>
  <si>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</si>
  <si>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</si>
  <si>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</si>
  <si>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</si>
  <si>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</si>
  <si>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</si>
  <si>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</si>
  <si>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</si>
  <si>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</si>
  <si>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</si>
  <si>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</si>
  <si>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</si>
  <si>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</si>
  <si>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</si>
  <si>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</si>
  <si>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</si>
  <si>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</si>
  <si>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</si>
  <si>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</si>
  <si>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</si>
  <si>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</si>
  <si>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</si>
  <si>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</si>
  <si>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</si>
  <si>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</si>
  <si>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</si>
  <si>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</si>
  <si>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</si>
  <si>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</si>
  <si>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</si>
  <si>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</si>
  <si>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</si>
  <si>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</si>
  <si>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</si>
  <si>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</si>
  <si>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</si>
  <si>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</si>
  <si>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</si>
  <si>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</si>
  <si>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</si>
  <si>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</si>
  <si>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</si>
  <si>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</si>
  <si>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</si>
  <si>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</si>
  <si>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</si>
  <si>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</si>
  <si>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</si>
  <si>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</si>
  <si>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</si>
  <si>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</si>
  <si>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</si>
  <si>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</si>
  <si>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</si>
  <si>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</si>
  <si>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</si>
  <si>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</si>
  <si>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</si>
  <si>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</si>
  <si>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</si>
  <si>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</si>
  <si>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</si>
  <si>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</si>
  <si>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</si>
  <si>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</si>
  <si>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</si>
  <si>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</si>
  <si>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</si>
  <si>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</si>
  <si>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</si>
  <si>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</si>
  <si>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</si>
  <si>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</si>
  <si>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</si>
  <si>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</si>
  <si>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</si>
  <si>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</si>
  <si>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</si>
  <si>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</si>
  <si>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</si>
  <si>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</si>
  <si>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</si>
  <si>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</si>
  <si>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</si>
  <si>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</si>
  <si>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</si>
  <si>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</si>
  <si>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</si>
  <si>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</si>
  <si>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</si>
  <si>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</si>
  <si>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</si>
  <si>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</si>
  <si>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</si>
  <si>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</si>
  <si>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</si>
  <si>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</si>
  <si>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</si>
  <si>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</si>
  <si>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</si>
  <si>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</si>
  <si>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</si>
  <si>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</si>
  <si>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</si>
  <si>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</si>
  <si>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</si>
  <si>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</si>
  <si>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</si>
  <si>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</si>
  <si>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</si>
  <si>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</si>
  <si>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</si>
  <si>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</si>
  <si>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</si>
  <si>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</si>
  <si>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</si>
  <si>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</si>
  <si>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</si>
  <si>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</si>
  <si>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</si>
  <si>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</si>
  <si>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</si>
  <si>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</si>
  <si>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</si>
  <si>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</si>
  <si>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</si>
  <si>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</si>
  <si>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</si>
  <si>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</si>
  <si>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</si>
  <si>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</si>
  <si>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</si>
  <si>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</si>
  <si>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</si>
  <si>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</si>
  <si>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</si>
  <si>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</si>
  <si>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</si>
  <si>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</si>
  <si>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</si>
  <si>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</si>
  <si>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</si>
  <si>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</si>
  <si>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</si>
  <si>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</si>
  <si>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</si>
  <si>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</si>
  <si>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</si>
  <si>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</si>
  <si>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</si>
  <si>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</si>
  <si>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</si>
  <si>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</si>
  <si>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</si>
  <si>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</si>
  <si>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</si>
  <si>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</si>
  <si>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</si>
  <si>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</si>
  <si>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</si>
  <si>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</si>
  <si>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</si>
  <si>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</si>
  <si>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</si>
  <si>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</si>
  <si>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</si>
  <si>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</si>
  <si>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</si>
  <si>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</si>
  <si>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</si>
  <si>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</si>
  <si>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</si>
  <si>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</si>
  <si>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</si>
  <si>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</si>
  <si>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</si>
  <si>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</si>
  <si>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</si>
  <si>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</si>
  <si>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</si>
  <si>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</si>
  <si>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</si>
  <si>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</si>
  <si>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</si>
  <si>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</si>
  <si>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</si>
  <si>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</si>
  <si>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</si>
  <si>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</si>
  <si>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</si>
  <si>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</si>
  <si>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</si>
  <si>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</si>
  <si>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</si>
  <si>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</si>
  <si>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</si>
  <si>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</si>
  <si>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</si>
  <si>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</si>
  <si>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</si>
  <si>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</si>
  <si>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</si>
  <si>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</si>
  <si>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</si>
  <si>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</si>
  <si>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</si>
  <si>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</si>
  <si>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</si>
  <si>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</si>
  <si>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</si>
  <si>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</si>
  <si>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</si>
  <si>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</si>
  <si>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</si>
  <si>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</si>
  <si>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</si>
  <si>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</si>
  <si>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</si>
  <si>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</si>
  <si>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</si>
  <si>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</si>
  <si>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</si>
  <si>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</si>
  <si>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</si>
  <si>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</si>
  <si>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</si>
  <si>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</si>
  <si>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</si>
  <si>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</si>
  <si>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</si>
  <si>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</si>
  <si>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</si>
  <si>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</si>
  <si>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</si>
  <si>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</si>
  <si>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</si>
  <si>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</si>
  <si>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</si>
  <si>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</si>
  <si>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</si>
  <si>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</si>
  <si>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</si>
  <si>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</si>
  <si>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</si>
  <si>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</si>
  <si>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</si>
  <si>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</si>
  <si>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</si>
  <si>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</si>
  <si>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</si>
  <si>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</si>
  <si>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</si>
  <si>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</si>
  <si>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</si>
  <si>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</si>
  <si>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</si>
  <si>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</si>
  <si>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</si>
  <si>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</si>
  <si>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</si>
  <si>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</si>
  <si>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</si>
  <si>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</si>
  <si>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</si>
  <si>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</si>
  <si>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</si>
  <si>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</si>
  <si>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</si>
  <si>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</si>
  <si>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</si>
  <si>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</si>
  <si>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</si>
  <si>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</si>
  <si>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</si>
  <si>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</si>
  <si>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</si>
  <si>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</si>
  <si>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</si>
  <si>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</si>
  <si>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</si>
  <si>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</si>
  <si>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</si>
  <si>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</si>
  <si>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</si>
  <si>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</si>
  <si>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</si>
  <si>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</si>
  <si>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</si>
  <si>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</si>
  <si>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</si>
  <si>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</si>
  <si>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</si>
  <si>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</si>
  <si>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</si>
  <si>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</si>
  <si>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</si>
  <si>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</si>
  <si>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</si>
  <si>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</si>
  <si>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</si>
  <si>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</si>
  <si>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</si>
  <si>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</si>
  <si>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</si>
  <si>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</si>
  <si>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</si>
  <si>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</si>
  <si>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</si>
  <si>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</si>
  <si>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</si>
  <si>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</si>
  <si>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</si>
  <si>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</si>
  <si>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</si>
  <si>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</si>
  <si>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</si>
  <si>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</si>
  <si>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</si>
  <si>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</si>
  <si>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</si>
  <si>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</si>
  <si>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</si>
  <si>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</si>
  <si>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</si>
  <si>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</si>
  <si>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</si>
  <si>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</si>
  <si>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</si>
  <si>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</si>
  <si>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</si>
  <si>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</si>
  <si>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</si>
  <si>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</si>
  <si>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</si>
  <si>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</si>
  <si>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</si>
  <si>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</si>
  <si>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</si>
  <si>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</si>
  <si>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</si>
  <si>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</si>
  <si>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</si>
  <si>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</si>
  <si>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</si>
  <si>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</si>
  <si>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</si>
  <si>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</si>
  <si>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</si>
  <si>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</si>
  <si>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</si>
  <si>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</si>
  <si>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</si>
  <si>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</si>
  <si>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</si>
  <si>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</si>
  <si>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</si>
  <si>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</si>
  <si>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</si>
  <si>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</si>
  <si>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</si>
  <si>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</si>
  <si>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</si>
  <si>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</si>
  <si>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</si>
  <si>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</si>
  <si>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</si>
  <si>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</si>
  <si>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</si>
  <si>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</si>
  <si>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</si>
  <si>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</si>
  <si>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</si>
  <si>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</si>
  <si>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</si>
  <si>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</si>
  <si>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</si>
  <si>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</si>
  <si>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</si>
  <si>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</si>
  <si>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</si>
  <si>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</si>
  <si>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</si>
  <si>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</si>
  <si>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</si>
  <si>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</si>
  <si>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</si>
  <si>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</si>
  <si>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</si>
  <si>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</si>
  <si>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</si>
  <si>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</si>
  <si>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</si>
  <si>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</si>
  <si>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</si>
  <si>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</si>
  <si>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</si>
  <si>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</si>
  <si>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</si>
  <si>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</si>
  <si>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</si>
  <si>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</si>
  <si>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</si>
  <si>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</si>
  <si>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</si>
  <si>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</si>
  <si>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</si>
  <si>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</si>
  <si>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</si>
  <si>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</si>
  <si>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</si>
  <si>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</si>
  <si>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</si>
  <si>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</si>
  <si>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</si>
  <si>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</si>
  <si>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</si>
  <si>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</si>
  <si>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</si>
  <si>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</si>
  <si>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</si>
  <si>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</si>
  <si>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</si>
  <si>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</si>
  <si>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</si>
  <si>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</si>
  <si>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</si>
  <si>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</si>
  <si>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</si>
  <si>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</si>
  <si>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</si>
  <si>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</si>
  <si>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</si>
  <si>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</si>
  <si>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</si>
  <si>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</si>
  <si>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</si>
  <si>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</si>
  <si>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</si>
  <si>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</si>
  <si>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</si>
  <si>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</si>
  <si>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</si>
  <si>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</si>
  <si>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</si>
  <si>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</si>
  <si>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</si>
  <si>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</si>
  <si>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</si>
  <si>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</si>
  <si>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</si>
  <si>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</si>
  <si>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</si>
  <si>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</si>
  <si>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</si>
  <si>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</si>
  <si>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</si>
  <si>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</si>
  <si>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</si>
  <si>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</si>
  <si>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</si>
  <si>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</si>
  <si>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</si>
  <si>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</si>
  <si>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</si>
  <si>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</si>
  <si>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</si>
  <si>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</si>
  <si>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</si>
  <si>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</si>
  <si>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</si>
  <si>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</si>
  <si>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</si>
  <si>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</si>
  <si>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</si>
  <si>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</si>
  <si>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</si>
  <si>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</si>
  <si>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</si>
  <si>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</si>
  <si>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</si>
  <si>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</si>
  <si>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</si>
  <si>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</si>
  <si>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</si>
  <si>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</si>
  <si>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</si>
  <si>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</si>
  <si>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</si>
  <si>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</si>
  <si>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</si>
  <si>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</si>
  <si>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</si>
  <si>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</si>
  <si>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</si>
  <si>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</si>
  <si>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</si>
  <si>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</si>
  <si>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</si>
  <si>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</si>
  <si>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</si>
  <si>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</si>
  <si>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</si>
  <si>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</si>
  <si>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</si>
  <si>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</si>
  <si>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</si>
  <si>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</si>
  <si>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</si>
  <si>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</si>
  <si>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</si>
  <si>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</si>
  <si>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</si>
  <si>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</si>
  <si>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</si>
  <si>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</si>
  <si>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</si>
  <si>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</si>
  <si>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</si>
  <si>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</si>
  <si>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</si>
  <si>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</si>
  <si>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</si>
  <si>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</si>
  <si>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</si>
  <si>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</si>
  <si>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</si>
  <si>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</si>
  <si>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</si>
  <si>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</si>
  <si>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</si>
  <si>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</si>
  <si>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</si>
  <si>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</si>
  <si>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</si>
  <si>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</si>
  <si>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</si>
  <si>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</si>
  <si>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</si>
  <si>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</si>
  <si>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</si>
  <si>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</si>
  <si>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</si>
  <si>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</si>
  <si>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</si>
  <si>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</si>
  <si>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</si>
  <si>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</si>
  <si>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</si>
  <si>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</si>
  <si>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</si>
  <si>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</si>
  <si>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</si>
  <si>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</si>
  <si>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</si>
  <si>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</si>
  <si>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</si>
  <si>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</si>
  <si>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</si>
  <si>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</si>
  <si>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</si>
  <si>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</si>
  <si>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</si>
  <si>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</si>
  <si>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</si>
  <si>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</si>
  <si>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</si>
  <si>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</si>
  <si>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</si>
  <si>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</si>
  <si>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</si>
  <si>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</si>
  <si>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</si>
  <si>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</si>
  <si>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</si>
  <si>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</si>
  <si>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</si>
  <si>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</si>
  <si>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</si>
  <si>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</si>
  <si>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</si>
  <si>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</si>
  <si>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</si>
  <si>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</si>
  <si>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</si>
  <si>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</si>
  <si>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</si>
  <si>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</si>
  <si>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</si>
  <si>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</si>
  <si>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</si>
  <si>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</si>
  <si>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</si>
  <si>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</si>
  <si>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</si>
  <si>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</si>
  <si>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</si>
  <si>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</si>
  <si>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</si>
  <si>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</si>
  <si>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</si>
  <si>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</si>
  <si>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</si>
  <si>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</si>
  <si>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</si>
  <si>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</si>
  <si>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</si>
  <si>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</si>
  <si>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</si>
  <si>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</si>
  <si>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</si>
  <si>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</si>
  <si>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</si>
  <si>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</si>
  <si>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</si>
  <si>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</si>
  <si>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</si>
  <si>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</si>
  <si>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</si>
  <si>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</si>
  <si>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</si>
  <si>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</si>
  <si>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</si>
  <si>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</si>
  <si>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</si>
  <si>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</si>
  <si>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</si>
  <si>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</si>
  <si>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</si>
  <si>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</si>
  <si>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</si>
  <si>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</si>
  <si>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</si>
  <si>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</si>
  <si>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</si>
  <si>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</si>
  <si>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</si>
  <si>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</si>
  <si>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</si>
  <si>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</si>
  <si>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</si>
  <si>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</si>
  <si>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</si>
  <si>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</si>
  <si>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</si>
  <si>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</si>
  <si>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</si>
  <si>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</si>
  <si>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</si>
  <si>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</si>
  <si>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</si>
  <si>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</si>
  <si>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</si>
  <si>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</si>
  <si>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</si>
  <si>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</si>
  <si>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</si>
  <si>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</si>
  <si>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</si>
  <si>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</si>
  <si>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</si>
  <si>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</si>
  <si>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</si>
  <si>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</si>
  <si>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</si>
  <si>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</si>
  <si>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</si>
  <si>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</si>
  <si>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</si>
  <si>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</si>
  <si>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</si>
  <si>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</si>
  <si>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</si>
  <si>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</si>
  <si>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</si>
  <si>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</si>
  <si>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</si>
  <si>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</si>
  <si>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</si>
  <si>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</si>
  <si>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</si>
  <si>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</si>
  <si>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</si>
  <si>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</si>
  <si>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</si>
  <si>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</si>
  <si>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</si>
  <si>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</si>
  <si>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</si>
  <si>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</si>
  <si>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</si>
  <si>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</si>
  <si>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</si>
  <si>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</si>
  <si>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</si>
  <si>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</si>
  <si>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</si>
  <si>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</si>
  <si>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</si>
  <si>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</si>
  <si>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</si>
  <si>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</si>
  <si>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</si>
  <si>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</si>
  <si>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</si>
  <si>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</si>
  <si>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</si>
  <si>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</si>
  <si>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</si>
  <si>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</si>
  <si>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</si>
  <si>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</si>
  <si>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</si>
  <si>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</si>
  <si>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</si>
  <si>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</si>
  <si>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</si>
  <si>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</si>
  <si>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</si>
  <si>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</si>
  <si>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</si>
  <si>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</si>
  <si>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</si>
  <si>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</si>
  <si>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</si>
  <si>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</si>
  <si>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</si>
  <si>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</si>
  <si>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</si>
  <si>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</si>
  <si>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</si>
  <si>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</si>
  <si>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</si>
  <si>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</si>
  <si>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</si>
  <si>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</si>
  <si>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</si>
  <si>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</si>
  <si>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</si>
  <si>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</si>
  <si>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</si>
  <si>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</si>
  <si>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</si>
  <si>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</si>
  <si>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</si>
  <si>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</si>
  <si>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</si>
  <si>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</si>
  <si>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</si>
  <si>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</si>
  <si>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</si>
  <si>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</si>
  <si>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</si>
  <si>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</si>
  <si>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</si>
  <si>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</si>
  <si>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</si>
  <si>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</si>
  <si>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</si>
  <si>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</si>
  <si>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</si>
  <si>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</si>
  <si>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</si>
  <si>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</si>
  <si>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</si>
  <si>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</si>
  <si>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</si>
  <si>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</si>
  <si>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</si>
  <si>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</si>
  <si>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</si>
  <si>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</si>
  <si>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</si>
  <si>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</si>
  <si>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</si>
  <si>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</si>
  <si>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</si>
  <si>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</si>
  <si>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</si>
  <si>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</si>
  <si>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</si>
  <si>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</si>
  <si>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</si>
  <si>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</si>
  <si>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</si>
  <si>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</si>
  <si>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</si>
  <si>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</si>
  <si>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</si>
  <si>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</si>
  <si>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</si>
  <si>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</si>
  <si>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</si>
  <si>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</si>
  <si>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</si>
  <si>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</si>
  <si>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</si>
  <si>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</si>
  <si>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</si>
  <si>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</si>
  <si>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</si>
  <si>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</si>
  <si>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</si>
  <si>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</si>
  <si>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</si>
  <si>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</si>
  <si>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</si>
  <si>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</si>
  <si>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</si>
  <si>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</si>
  <si>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</si>
  <si>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</si>
  <si>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</si>
  <si>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</si>
  <si>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</si>
  <si>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</si>
  <si>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</si>
  <si>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</si>
  <si>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</si>
  <si>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</si>
  <si>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</si>
  <si>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</si>
  <si>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</si>
  <si>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</si>
  <si>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</si>
  <si>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</si>
  <si>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</si>
  <si>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</si>
  <si>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</si>
  <si>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</si>
  <si>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</si>
  <si>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</si>
  <si>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</si>
  <si>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</si>
  <si>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</si>
  <si>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</si>
  <si>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</si>
  <si>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</si>
  <si>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</si>
  <si>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</si>
  <si>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</si>
  <si>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</si>
  <si>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</si>
  <si>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</si>
  <si>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</si>
  <si>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</si>
  <si>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</si>
  <si>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</si>
  <si>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</si>
  <si>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</si>
  <si>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</si>
  <si>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</si>
  <si>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</si>
  <si>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</si>
  <si>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</si>
  <si>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</si>
  <si>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</si>
  <si>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</si>
  <si>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</si>
  <si>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</si>
  <si>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</si>
  <si>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</si>
  <si>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</si>
  <si>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</si>
  <si>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</si>
  <si>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</si>
  <si>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</si>
  <si>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</si>
  <si>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</si>
  <si>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</si>
  <si>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</si>
  <si>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</si>
  <si>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</si>
  <si>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</si>
  <si>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</si>
  <si>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</si>
  <si>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</si>
  <si>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</si>
  <si>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</si>
  <si>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</si>
  <si>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</si>
  <si>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</si>
  <si>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</si>
  <si>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</si>
  <si>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</si>
  <si>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</si>
  <si>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</si>
  <si>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</si>
  <si>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</si>
  <si>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</si>
  <si>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</si>
  <si>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</si>
  <si>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</si>
  <si>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</si>
  <si>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</si>
  <si>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</si>
  <si>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</si>
  <si>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</si>
  <si>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</si>
  <si>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</si>
  <si>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</si>
  <si>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</si>
  <si>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</si>
  <si>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</si>
  <si>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</si>
  <si>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</si>
  <si>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</si>
  <si>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</si>
  <si>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</si>
  <si>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</si>
  <si>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</si>
  <si>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</si>
  <si>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</si>
  <si>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</si>
  <si>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</si>
  <si>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</si>
  <si>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</si>
  <si>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</si>
  <si>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</si>
  <si>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</si>
  <si>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</si>
  <si>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</si>
  <si>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</si>
  <si>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</si>
  <si>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</si>
  <si>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</si>
  <si>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</si>
  <si>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</si>
  <si>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</si>
  <si>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</si>
  <si>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</si>
  <si>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</si>
  <si>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</si>
  <si>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</si>
  <si>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</si>
  <si>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</si>
  <si>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</si>
  <si>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</si>
  <si>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</si>
  <si>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</si>
  <si>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</si>
  <si>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</si>
  <si>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</si>
  <si>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</si>
  <si>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</si>
  <si>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</si>
  <si>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</si>
  <si>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</si>
  <si>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</si>
  <si>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</si>
  <si>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</si>
  <si>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</si>
  <si>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</si>
  <si>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</si>
  <si>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</si>
  <si>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</si>
  <si>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</si>
  <si>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</si>
  <si>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</si>
  <si>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</si>
  <si>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</si>
  <si>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</si>
  <si>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</si>
  <si>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</si>
  <si>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</si>
  <si>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</si>
  <si>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</si>
  <si>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</si>
  <si>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</si>
  <si>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</si>
  <si>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</si>
  <si>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</si>
  <si>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</si>
  <si>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</si>
  <si>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</si>
  <si>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</si>
  <si>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</si>
  <si>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</si>
  <si>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</si>
  <si>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</si>
  <si>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</si>
  <si>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</si>
  <si>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</si>
  <si>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</si>
  <si>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</si>
  <si>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</si>
  <si>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</si>
  <si>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</si>
  <si>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</si>
  <si>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</si>
  <si>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</si>
  <si>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</si>
  <si>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</si>
  <si>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</si>
  <si>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</si>
  <si>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</si>
  <si>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</si>
  <si>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</si>
  <si>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</si>
  <si>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</si>
  <si>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</si>
  <si>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</si>
  <si>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</si>
  <si>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</si>
  <si>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</si>
  <si>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</si>
  <si>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</si>
  <si>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</si>
  <si>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</si>
  <si>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</si>
  <si>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</si>
  <si>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</si>
  <si>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</si>
  <si>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</si>
  <si>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</si>
  <si>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</si>
  <si>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</si>
  <si>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</si>
  <si>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</si>
  <si>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</si>
  <si>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</si>
  <si>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</si>
  <si>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</si>
  <si>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</si>
  <si>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</si>
  <si>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</si>
  <si>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</si>
  <si>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</si>
  <si>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</si>
  <si>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</si>
  <si>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</si>
  <si>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</si>
  <si>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</si>
  <si>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</si>
  <si>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</si>
  <si>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</si>
  <si>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</si>
  <si>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</si>
  <si>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</si>
  <si>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</si>
  <si>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</si>
  <si>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</si>
  <si>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</si>
  <si>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</si>
  <si>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</si>
  <si>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</si>
  <si>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</si>
  <si>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</si>
  <si>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</si>
  <si>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</si>
  <si>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</si>
  <si>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</si>
  <si>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</si>
  <si>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</si>
  <si>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</si>
  <si>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</si>
  <si>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</si>
  <si>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</si>
  <si>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</si>
  <si>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</si>
  <si>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</si>
  <si>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</si>
  <si>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</si>
  <si>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</si>
  <si>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</si>
  <si>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</si>
  <si>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</si>
  <si>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</si>
  <si>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</si>
  <si>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</si>
  <si>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</si>
  <si>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</si>
  <si>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</si>
  <si>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</si>
  <si>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</si>
  <si>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</si>
  <si>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</si>
  <si>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</si>
  <si>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</si>
  <si>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</si>
  <si>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</si>
  <si>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</si>
  <si>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</si>
  <si>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</si>
  <si>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</si>
  <si>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</si>
  <si>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</si>
  <si>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</si>
  <si>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</si>
  <si>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</si>
  <si>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</si>
  <si>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</si>
  <si>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</si>
  <si>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</si>
  <si>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</si>
  <si>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</si>
  <si>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</si>
  <si>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</si>
  <si>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</si>
  <si>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</si>
  <si>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</si>
  <si>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</si>
  <si>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</si>
  <si>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</si>
  <si>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</si>
  <si>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</si>
  <si>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</si>
  <si>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</si>
  <si>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</si>
  <si>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</si>
  <si>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</si>
  <si>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</si>
  <si>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</si>
  <si>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</si>
  <si>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</si>
  <si>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</si>
  <si>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</si>
  <si>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</si>
  <si>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</si>
  <si>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</si>
  <si>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</si>
  <si>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</si>
  <si>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</si>
  <si>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</si>
  <si>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</si>
  <si>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</si>
  <si>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</si>
  <si>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</si>
  <si>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</si>
  <si>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</si>
  <si>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</si>
  <si>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</si>
  <si>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</si>
  <si>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</si>
  <si>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</si>
  <si>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</si>
  <si>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</si>
  <si>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</si>
  <si>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</si>
  <si>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</si>
  <si>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</si>
  <si>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</si>
  <si>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</si>
  <si>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</si>
  <si>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</si>
  <si>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</si>
  <si>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</si>
  <si>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</si>
  <si>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</si>
  <si>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</si>
  <si>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</si>
  <si>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</si>
  <si>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</si>
  <si>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</si>
  <si>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</si>
  <si>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</si>
  <si>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</si>
  <si>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</si>
  <si>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</si>
  <si>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</si>
  <si>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</si>
  <si>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</si>
  <si>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</si>
  <si>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</si>
  <si>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</si>
  <si>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</si>
  <si>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</si>
  <si>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</si>
  <si>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</si>
  <si>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</si>
  <si>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</si>
  <si>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</si>
  <si>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</si>
  <si>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</si>
  <si>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</si>
  <si>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</si>
  <si>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</si>
  <si>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</si>
  <si>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</si>
  <si>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</si>
  <si>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</si>
  <si>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</si>
  <si>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</si>
  <si>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</si>
  <si>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</si>
  <si>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</si>
  <si>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</si>
  <si>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</si>
  <si>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</si>
  <si>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</si>
  <si>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</si>
  <si>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</si>
  <si>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</si>
  <si>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</si>
  <si>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</si>
  <si>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</si>
  <si>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</si>
  <si>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</si>
  <si>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</si>
  <si>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</si>
  <si>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</si>
  <si>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</si>
  <si>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</si>
  <si>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</si>
  <si>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</si>
  <si>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</si>
  <si>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</si>
  <si>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</si>
  <si>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</si>
  <si>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</si>
  <si>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</si>
  <si>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</si>
  <si>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</si>
  <si>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</si>
  <si>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</si>
  <si>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</si>
  <si>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</si>
  <si>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</si>
  <si>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</si>
  <si>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</si>
  <si>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</si>
  <si>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</si>
  <si>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</si>
  <si>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</si>
  <si>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</si>
  <si>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</si>
  <si>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</si>
  <si>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</si>
  <si>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</si>
  <si>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</si>
  <si>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</si>
  <si>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</si>
  <si>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</si>
  <si>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</si>
  <si>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</si>
  <si>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</si>
  <si>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</si>
  <si>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</si>
  <si>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</si>
  <si>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</si>
  <si>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</si>
  <si>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</si>
  <si>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</si>
  <si>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</si>
  <si>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</si>
  <si>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</si>
  <si>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</si>
  <si>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</si>
  <si>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</si>
  <si>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</si>
  <si>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</si>
  <si>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</si>
  <si>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</si>
  <si>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</si>
  <si>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</si>
  <si>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</si>
  <si>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</si>
  <si>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</si>
  <si>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</si>
  <si>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</si>
  <si>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</si>
  <si>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</si>
  <si>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</si>
  <si>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</si>
  <si>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</si>
  <si>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</si>
  <si>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</si>
  <si>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</si>
  <si>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</si>
  <si>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</si>
  <si>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</si>
  <si>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</si>
  <si>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</si>
  <si>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</si>
  <si>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</si>
  <si>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</si>
  <si>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</si>
  <si>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</si>
  <si>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</si>
  <si>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</si>
  <si>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</si>
  <si>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</si>
  <si>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</si>
  <si>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</si>
  <si>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</si>
  <si>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</si>
  <si>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</si>
  <si>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</si>
  <si>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</si>
  <si>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</si>
  <si>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</si>
  <si>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</si>
  <si>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</si>
  <si>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</si>
  <si>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</si>
  <si>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</si>
  <si>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</si>
  <si>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</si>
  <si>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</si>
  <si>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</si>
  <si>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</si>
  <si>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</si>
  <si>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</si>
  <si>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</si>
  <si>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</si>
  <si>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</si>
  <si>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</si>
  <si>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</si>
  <si>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</si>
  <si>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</si>
  <si>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</si>
  <si>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</si>
  <si>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</si>
  <si>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</si>
  <si>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</si>
  <si>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</si>
  <si>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</si>
  <si>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</si>
  <si>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</si>
  <si>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</si>
  <si>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</si>
  <si>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</si>
  <si>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</si>
  <si>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</si>
  <si>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</si>
  <si>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</si>
  <si>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</si>
  <si>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</si>
  <si>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</si>
  <si>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</si>
  <si>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</si>
  <si>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</si>
  <si>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</si>
  <si>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</si>
  <si>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</si>
  <si>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</si>
  <si>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</si>
  <si>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</si>
  <si>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</si>
  <si>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</si>
  <si>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</si>
  <si>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</si>
  <si>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</si>
  <si>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</si>
  <si>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</si>
  <si>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</si>
  <si>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</si>
  <si>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</si>
  <si>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</si>
  <si>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</si>
  <si>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</si>
  <si>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</si>
  <si>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</si>
  <si>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</si>
  <si>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</si>
  <si>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</si>
  <si>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</si>
  <si>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</si>
  <si>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</si>
  <si>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</si>
  <si>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</si>
  <si>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</si>
  <si>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</si>
  <si>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</si>
  <si>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</si>
  <si>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</si>
  <si>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</si>
  <si>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</si>
  <si>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</si>
  <si>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</si>
  <si>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</si>
  <si>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</si>
  <si>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</si>
  <si>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</si>
  <si>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</si>
  <si>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</si>
  <si>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</si>
  <si>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</si>
  <si>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</si>
  <si>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</si>
  <si>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</si>
  <si>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</si>
  <si>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</si>
  <si>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</si>
  <si>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</si>
  <si>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</si>
  <si>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</si>
  <si>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</si>
  <si>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</si>
  <si>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</si>
  <si>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</si>
  <si>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</si>
  <si>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</si>
  <si>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</si>
  <si>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</si>
  <si>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</si>
  <si>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</si>
  <si>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</si>
  <si>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</si>
  <si>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</si>
  <si>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</si>
  <si>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</si>
  <si>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</si>
  <si>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</si>
  <si>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</si>
  <si>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</si>
  <si>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</si>
  <si>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</si>
  <si>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</si>
  <si>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</si>
  <si>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</si>
  <si>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</si>
  <si>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</si>
  <si>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</si>
  <si>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</si>
  <si>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</si>
  <si>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</si>
  <si>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</si>
  <si>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</si>
  <si>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</si>
  <si>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</si>
  <si>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</si>
  <si>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</si>
  <si>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</si>
  <si>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</si>
  <si>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</si>
  <si>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</si>
  <si>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</si>
  <si>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</si>
  <si>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</si>
  <si>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</si>
  <si>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</si>
  <si>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</si>
  <si>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</si>
  <si>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</si>
  <si>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</si>
  <si>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</si>
  <si>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</si>
  <si>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</si>
  <si>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</si>
  <si>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</si>
  <si>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</si>
  <si>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</si>
  <si>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</si>
  <si>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</si>
  <si>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</si>
  <si>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</si>
  <si>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</si>
  <si>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</si>
  <si>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</si>
  <si>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</si>
  <si>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</si>
  <si>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</si>
  <si>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</si>
  <si>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</si>
  <si>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</si>
  <si>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</si>
  <si>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</si>
  <si>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</si>
  <si>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</si>
  <si>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</si>
  <si>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</si>
  <si>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</si>
  <si>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</si>
  <si>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</si>
  <si>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</si>
  <si>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</si>
  <si>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</si>
  <si>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</si>
  <si>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</si>
  <si>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</si>
  <si>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</si>
  <si>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</si>
  <si>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</si>
  <si>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</si>
  <si>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</si>
  <si>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</si>
  <si>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</si>
  <si>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</si>
  <si>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</si>
  <si>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</si>
  <si>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</si>
  <si>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</si>
  <si>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</si>
  <si>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Entrega de IT adiada. Será testado em Janeiro na extensão do projeto</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</si>
  <si>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</si>
  <si>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</si>
  <si>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</si>
  <si>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</si>
  <si>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</si>
  <si>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</si>
  <si>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</si>
  <si>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Pendente de alteração de parametrizaçao de marcação verde (categorias SFICS)</t>
  </si>
  <si>
    <t>Entrega #4 (Incidências)</t>
  </si>
  <si>
    <t>X</t>
  </si>
  <si>
    <t>Entrega #1 (Pendência)</t>
  </si>
  <si>
    <t>Entrega #3 (Pendência)</t>
  </si>
  <si>
    <t>A validar por CDO</t>
  </si>
  <si>
    <t>Em Re-especificação</t>
  </si>
  <si>
    <r>
      <t>1.</t>
    </r>
    <r>
      <rPr>
        <b/>
        <sz val="11"/>
        <rFont val="Santander Text"/>
        <family val="2"/>
      </rPr>
      <t xml:space="preserve"> Testes:</t>
    </r>
    <r>
      <rPr>
        <sz val="11"/>
        <rFont val="Santander Text"/>
        <family val="2"/>
      </rPr>
      <t xml:space="preserve">
- Testado o campo CGARANT_BEM (</t>
    </r>
    <r>
      <rPr>
        <b/>
        <sz val="11"/>
        <rFont val="Santander Text"/>
        <family val="2"/>
      </rPr>
      <t>tabela Property</t>
    </r>
    <r>
      <rPr>
        <sz val="11"/>
        <rFont val="Santander Text"/>
        <family val="2"/>
      </rPr>
      <t xml:space="preserve">), o que permitiu concluir a tabela.
- Conforme previsto, foram realizados os testes à tabela de input da </t>
    </r>
    <r>
      <rPr>
        <b/>
        <sz val="11"/>
        <rFont val="Santander Text"/>
        <family val="2"/>
      </rPr>
      <t xml:space="preserve">Gloval </t>
    </r>
    <r>
      <rPr>
        <sz val="11"/>
        <rFont val="Santander Text"/>
        <family val="2"/>
      </rPr>
      <t>bem como à tabela unificada/ traçabilidade. Contudo, a tabela de input encontra-se em Validação EF uma vez que está dependente de validação do CDO.</t>
    </r>
    <r>
      <rPr>
        <b/>
        <sz val="11"/>
        <color theme="1"/>
        <rFont val="Santander Text"/>
        <family val="2"/>
      </rPr>
      <t xml:space="preserve">
</t>
    </r>
    <r>
      <rPr>
        <sz val="11"/>
        <rFont val="Santander Text"/>
        <family val="2"/>
      </rPr>
      <t xml:space="preserve">
 </t>
    </r>
  </si>
  <si>
    <t>Em Correção</t>
  </si>
  <si>
    <r>
      <rPr>
        <b/>
        <sz val="11"/>
        <color theme="1"/>
        <rFont val="Santander Text"/>
        <family val="2"/>
      </rPr>
      <t>1.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Foram reabertos os 6 campos para incluir a especificação do portfólio de Project Finance  [conforme referido no último PdS].
- Foi reaberto 1 campo (code_nace_esg) porque os códigos foram atualizados.
</t>
    </r>
    <r>
      <rPr>
        <b/>
        <sz val="11"/>
        <color theme="1"/>
        <rFont val="Santander Text"/>
        <family val="2"/>
      </rPr>
      <t>Tabela de Contratos (lt002_instrument):</t>
    </r>
    <r>
      <rPr>
        <sz val="11"/>
        <color theme="1"/>
        <rFont val="Santander Text"/>
        <family val="2"/>
      </rPr>
      <t xml:space="preserve">
- Foram reabertos 3 campos para incluir a especificação do portfólio de Project Finance  [conforme referido no último PdS]
- 1 não foi possível testar por dependência da atualização das Categorias SFICS (reunião prevista para 13/01 com a área de ESG Risk) e aguarda esclarecimento da Corporação.
</t>
    </r>
    <r>
      <rPr>
        <b/>
        <sz val="11"/>
        <color theme="1"/>
        <rFont val="Santander Text"/>
        <family val="2"/>
      </rPr>
      <t>Tabela da relação do Contrato/Categoria (lt007_instr_activity):</t>
    </r>
    <r>
      <rPr>
        <sz val="11"/>
        <color theme="1"/>
        <rFont val="Santander Text"/>
        <family val="2"/>
      </rPr>
      <t xml:space="preserve">
- 1 não foi possível testar por dependência da atualização das Categorias SFICS (reunião prevista para 13/01 com a área de ESG Risk) 
</t>
    </r>
    <r>
      <rPr>
        <b/>
        <sz val="11"/>
        <color theme="1"/>
        <rFont val="Santander Text"/>
        <family val="2"/>
      </rPr>
      <t xml:space="preserve">Tabela de Garantias (lt004_protection):
</t>
    </r>
    <r>
      <rPr>
        <sz val="11"/>
        <color theme="1"/>
        <rFont val="Santander Text"/>
        <family val="2"/>
      </rPr>
      <t xml:space="preserve">- Concluídos 11 campos. 
- 1 campo encontra-se com incidências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</si>
  <si>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 xml:space="preserve">-&gt; tbd
</t>
    </r>
    <r>
      <rPr>
        <sz val="11"/>
        <color theme="1"/>
        <rFont val="Santander Text"/>
        <family val="2"/>
      </rPr>
      <t>- Emissões Project Finance (tabela de Clientes) (6 campos) -&gt;</t>
    </r>
    <r>
      <rPr>
        <b/>
        <sz val="11"/>
        <color theme="1"/>
        <rFont val="Santander Text"/>
        <family val="2"/>
      </rPr>
      <t xml:space="preserve"> tbd
2. Especificações:
</t>
    </r>
    <r>
      <rPr>
        <sz val="11"/>
        <color theme="1"/>
        <rFont val="Santander Text"/>
        <family val="2"/>
      </rPr>
      <t xml:space="preserve">- </t>
    </r>
    <r>
      <rPr>
        <b/>
        <sz val="11"/>
        <color theme="1"/>
        <rFont val="Santander Text"/>
        <family val="2"/>
      </rPr>
      <t>Concluída a especificação do Portfolio de Project Finance</t>
    </r>
    <r>
      <rPr>
        <sz val="11"/>
        <color theme="1"/>
        <rFont val="Santander Text"/>
        <family val="2"/>
      </rPr>
      <t xml:space="preserve">
- </t>
    </r>
    <r>
      <rPr>
        <b/>
        <sz val="11"/>
        <color theme="1"/>
        <rFont val="Santander Text"/>
        <family val="2"/>
      </rPr>
      <t>Re-especificação dos 12 campos de Marcação Verde</t>
    </r>
    <r>
      <rPr>
        <sz val="11"/>
        <color theme="1"/>
        <rFont val="Santander Text"/>
        <family val="2"/>
      </rPr>
      <t xml:space="preserve"> em curso, de modo a ficar </t>
    </r>
    <r>
      <rPr>
        <b/>
        <sz val="11"/>
        <color theme="1"/>
        <rFont val="Santander Text"/>
        <family val="2"/>
      </rPr>
      <t>alinhada com o que será feito no Green Dashboard</t>
    </r>
    <r>
      <rPr>
        <sz val="11"/>
        <color theme="1"/>
        <rFont val="Santander Text"/>
        <family val="2"/>
      </rPr>
      <t>. Está prevista uma reunião para o dia 13/01 com a área de ESG Risk para conclusão da re-especificação. Adicionalmente, foi realizada uma sessão com a Ana Lamúrias para validação do método de ponderação dos contratos. Está também agendada uma reunião para 14/01 com o CDO para validação do novo input necessário para o Portfolio de Project Finance.</t>
    </r>
    <r>
      <rPr>
        <b/>
        <sz val="11"/>
        <color theme="1"/>
        <rFont val="Santander Text"/>
        <family val="2"/>
      </rPr>
      <t xml:space="preserve">
3.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t>
    </r>
    <r>
      <rPr>
        <b/>
        <sz val="11"/>
        <color theme="1"/>
        <rFont val="Santander Text"/>
        <family val="2"/>
      </rPr>
      <t>reabertos os 6 campos</t>
    </r>
    <r>
      <rPr>
        <sz val="11"/>
        <color theme="1"/>
        <rFont val="Santander Text"/>
        <family val="2"/>
      </rPr>
      <t xml:space="preserve"> que necessitam de ser retestados para inclusão do </t>
    </r>
    <r>
      <rPr>
        <b/>
        <sz val="11"/>
        <color theme="1"/>
        <rFont val="Santander Text"/>
        <family val="2"/>
      </rPr>
      <t>Portfolio de Project Finance</t>
    </r>
    <r>
      <rPr>
        <sz val="11"/>
        <color theme="1"/>
        <rFont val="Santander Text"/>
        <family val="2"/>
      </rPr>
      <t xml:space="preserve"> [conforme referido no último PdS]
- Foi reaberto 1 campo (code_nace) porque os códigos foram atualizados
- Foram </t>
    </r>
    <r>
      <rPr>
        <b/>
        <sz val="11"/>
        <color theme="1"/>
        <rFont val="Santander Text"/>
        <family val="2"/>
      </rPr>
      <t>concluídos 2 campos</t>
    </r>
    <r>
      <rPr>
        <sz val="11"/>
        <color theme="1"/>
        <rFont val="Santander Text"/>
        <family val="2"/>
      </rPr>
      <t xml:space="preserve"> dos 5 previstos. Os restantes 3 não foram possíveis testar porque sofreram re-especificação devido a alterações no input da Corporação [conforme referido no último PdS]. Os campos foram implementados e entregues por Tecnologia no final da semana, pelo que serão testados durante a próxima semana.
</t>
    </r>
  </si>
  <si>
    <r>
      <t>Sumário Executivo</t>
    </r>
    <r>
      <rPr>
        <b/>
        <sz val="14"/>
        <color theme="4"/>
        <rFont val="Santander Text"/>
        <family val="2"/>
      </rPr>
      <t xml:space="preserve"> |</t>
    </r>
    <r>
      <rPr>
        <b/>
        <sz val="11"/>
        <color theme="4"/>
        <rFont val="Santander Text"/>
        <family val="2"/>
      </rPr>
      <t>02 de janeiro a 10 de janeiro</t>
    </r>
  </si>
  <si>
    <t>-&gt; 9 campos para incluir Project Finance + Code Nace</t>
  </si>
  <si>
    <t>-&gt; 12 campos Gloval</t>
  </si>
  <si>
    <t>-&gt; 12 campos Marcação Verde + Code Nace + 6 campos para incluir Projet Finance + 4 campos Munich Re</t>
  </si>
  <si>
    <t>Campos Em falta</t>
  </si>
  <si>
    <t>- Concluído 1 campo da tabela de Bens do Modelo de Bens Imóveis
- Concluídos 2 campos da Tabela de Clientes do Modelo Verde
- Concluídos 11 campos da Loan Tape Pilar III</t>
  </si>
  <si>
    <t>10/01: Conclusão de teste aos campos</t>
  </si>
  <si>
    <t>10/01: Conclusão de teste ao campo</t>
  </si>
  <si>
    <t>Será testado após re-especicficação Munich Re</t>
  </si>
  <si>
    <t>Pendente de Acessos</t>
  </si>
  <si>
    <t>Re-especificação em Curso</t>
  </si>
  <si>
    <t xml:space="preserve">Pendente Aprovação CDO </t>
  </si>
  <si>
    <t>20/12: Conclusão de teste aos campos. 10/01: Inclusão Portfolio Project Finance</t>
  </si>
  <si>
    <t>13/12: Conclusão de teste aos campos. 10/01: Códigos Code_Nace sofreram atualização</t>
  </si>
  <si>
    <t>20/12: Conclusão de teste ao campo. 10/01: Códigos Code_Nace sofreram atualização</t>
  </si>
  <si>
    <t>Campo em Re-teste devido a alterações inputs Corporação</t>
  </si>
  <si>
    <t>13/12: Conclusão de teste aos campos. 10/01: Inclusão Portfolio Project Finance</t>
  </si>
  <si>
    <t>Apesar de entregue, não é possível testar por temas de usuário</t>
  </si>
  <si>
    <t>Apesar de entregue e testado, aguarda aprovação de CDO</t>
  </si>
  <si>
    <r>
      <rPr>
        <b/>
        <sz val="11"/>
        <rFont val="Santander Text"/>
        <family val="2"/>
      </rPr>
      <t xml:space="preserve">  Testes 03 e 10 de janeiro: </t>
    </r>
    <r>
      <rPr>
        <sz val="11"/>
        <rFont val="Santander Text"/>
        <family val="2"/>
      </rPr>
      <t xml:space="preserve">
</t>
    </r>
    <r>
      <rPr>
        <b/>
        <sz val="11"/>
        <rFont val="Santander Text"/>
        <family val="2"/>
      </rPr>
      <t xml:space="preserve"> 1. Modelo de Bens Imóveis:</t>
    </r>
    <r>
      <rPr>
        <sz val="11"/>
        <rFont val="Santander Text"/>
        <family val="2"/>
      </rPr>
      <t xml:space="preserve"> Foi concluído 1 dos 13 campos previstos. Os restantes 12 são referentes à tabela de input da Gloval. Os campos foram testados, contudo aguardam validação de CDO e envio do incremento de carteira da Gloval. Por estes motivos, não foi possível dar a tabela como concluída.
</t>
    </r>
    <r>
      <rPr>
        <b/>
        <sz val="11"/>
        <rFont val="Santander Text"/>
        <family val="2"/>
      </rPr>
      <t>2. Modelo Verde:</t>
    </r>
    <r>
      <rPr>
        <sz val="11"/>
        <rFont val="Santander Text"/>
        <family val="2"/>
      </rPr>
      <t xml:space="preserve"> 
- Foram concluídos 2 dos 5 campos previstos da tabela de output de Clientes. Os restantes 3 sofreram re-especificação devido a alterações no input da corporação  [conforme referido no último PdS]. A equipa de testes já fechou a re-especificação e a equipa de Tecnologia terminou esta semana a implementação. Por este motivo, os campos serão testados durante a próxima semana.
- Adicionalmente, foi fechada e partilhada com a equipa de Tecnologia a especificação das emissões do Portfolio de Project Finance
- Por fim, os 12 campos da tabela de Output de Marcação Verde encontram-se em re-especificação de modo a ficarem alinhados com o que será realizado no âmbito Green Dashboard. Está agendada uma reunião para o dia 13/01 com a área de ESG Risk para concluir a especificação dos campos.
</t>
    </r>
    <r>
      <rPr>
        <b/>
        <sz val="11"/>
        <rFont val="Santander Text"/>
        <family val="2"/>
      </rPr>
      <t>3. Pilar III:</t>
    </r>
    <r>
      <rPr>
        <sz val="11"/>
        <rFont val="Santander Text"/>
        <family val="2"/>
      </rPr>
      <t xml:space="preserve"> Dos 14 campos previstos fechar no Pilar III foram concluídos 11. 
  - 1 foi testado mas reportado com incidências
  - 2 não foram possíveis testar por dependência da atualização das Categorias SFICS (reunião para o dia 13/01 com a área de ESG Risk)
</t>
    </r>
    <r>
      <rPr>
        <b/>
        <sz val="11"/>
        <rFont val="Santander Text"/>
        <family val="2"/>
      </rPr>
      <t xml:space="preserve">  Testes 17/Jan:</t>
    </r>
    <r>
      <rPr>
        <sz val="11"/>
        <rFont val="Santander Text"/>
        <family val="2"/>
      </rPr>
      <t xml:space="preserve">
  </t>
    </r>
    <r>
      <rPr>
        <b/>
        <sz val="11"/>
        <rFont val="Santander Text"/>
        <family val="2"/>
      </rPr>
      <t>1. Modelo Bens Imóveis:</t>
    </r>
    <r>
      <rPr>
        <sz val="11"/>
        <rFont val="Santander Text"/>
        <family val="2"/>
      </rPr>
      <t xml:space="preserve"> Os testes à tabela de input da Gloval terão de transitar para a frente no plano uma vez que estão dependentes da validação de CDO, acessos ao front e da receção do incremento de carteira da Gloval para Dez de 2024. 
</t>
    </r>
    <r>
      <rPr>
        <b/>
        <sz val="11"/>
        <rFont val="Santander Text"/>
        <family val="2"/>
      </rPr>
      <t xml:space="preserve">  2. Modelo Verde:</t>
    </r>
    <r>
      <rPr>
        <sz val="11"/>
        <rFont val="Santander Text"/>
        <family val="2"/>
      </rPr>
      <t xml:space="preserve"> Estava previsto testar 12 campos da Marcação Verde e 4 campos de Risco Físico da Tabela de Bens Imóveis. Contudo, estes campos não serão testados uma vez que a Marcação Verde irá sofrer re-especificação e os campos de Risco Físico estão dependentes da nova especificação da Munich Re. Serão testados os 3 campos que não foram possíveis testar esta semana da Tabela de output de Clientes + o campo em falta da Parametrização de Marcação Verde.
</t>
    </r>
    <r>
      <rPr>
        <b/>
        <sz val="11"/>
        <rFont val="Santander Text"/>
        <family val="2"/>
      </rPr>
      <t xml:space="preserve">  3. Pilar III:</t>
    </r>
    <r>
      <rPr>
        <sz val="11"/>
        <rFont val="Santander Text"/>
        <family val="2"/>
      </rPr>
      <t xml:space="preserve"> Está previsto testar os 3 campos comuns ao Green Dashboard + 2 campos que não foram possíveis testar devido à dependência da atualização das Categorias SFICS + o campo com incidências desta semana
</t>
    </r>
    <r>
      <rPr>
        <b/>
        <sz val="11"/>
        <rFont val="Santander Text"/>
        <family val="2"/>
      </rPr>
      <t xml:space="preserve">
Iremos avançar também nas especificações do Novo projeto, de modo a dar resposta à alteração dos testes de Marcação Verde, Gloval e Project Finance para a frente no plano.</t>
    </r>
    <r>
      <rPr>
        <sz val="1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</si>
</sst>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8" borderId="34" xfId="0" applyFont="1" applyFill="1" applyBorder="1" applyAlignment="1">
      <alignment vertical="center"/>
    </xf>
    <xf numFmtId="0" fontId="71" fillId="0" borderId="35" xfId="0" applyFont="1" applyBorder="1" applyAlignment="1">
      <alignment horizontal="center" vertical="center"/>
    </xf>
    <xf numFmtId="0" fontId="71"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2"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16" fillId="0" borderId="0" xfId="0" applyFont="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3" fillId="27" borderId="0" xfId="0" applyFont="1" applyFill="1" applyAlignment="1">
      <alignment horizontal="center" vertical="center"/>
    </xf>
    <xf numFmtId="0" fontId="52" fillId="27" borderId="0" xfId="0" applyFont="1" applyFill="1" applyAlignment="1">
      <alignment horizontal="center" vertical="center"/>
    </xf>
    <xf numFmtId="0" fontId="71" fillId="0" borderId="0" xfId="0" applyFont="1" applyFill="1" applyBorder="1" applyAlignment="1">
      <alignment horizontal="center" vertical="center"/>
    </xf>
    <xf numFmtId="0" fontId="70"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1"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cellXfs>
  <cellStyles count="4">
    <cellStyle name="Normal" xfId="0" builtinId="0"/>
    <cellStyle name="Normal 2" xfId="3"/>
    <cellStyle name="Normal 3" xfId="2"/>
    <cellStyle name="Percent" xfId="1" builtinId="5"/>
  </cellStyles>
  <dxfs count="303">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10</c:v>
                </c:pt>
                <c:pt idx="1">
                  <c:v>147</c:v>
                </c:pt>
                <c:pt idx="2">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3</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1">
                  <c:v>12</c:v>
                </c:pt>
                <c:pt idx="3">
                  <c:v>1</c:v>
                </c:pt>
                <c:pt idx="4">
                  <c:v>4</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B4-4A80-BE52-E896985337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0">
                  <c:v>1</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B-C909-4A70-8E8F-F7121ADE929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Pivots2'!$H$89:$H$102</c:f>
              <c:numCache>
                <c:formatCode>General</c:formatCode>
                <c:ptCount val="13"/>
                <c:pt idx="3">
                  <c:v>6</c:v>
                </c:pt>
              </c:numCache>
            </c:numRef>
          </c:val>
          <c:extLst>
            <c:ext xmlns:c16="http://schemas.microsoft.com/office/drawing/2014/chart" uri="{C3380CC4-5D6E-409C-BE32-E72D297353CC}">
              <c16:uniqueId val="{00000004-C909-4A70-8E8F-F7121ADE92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solidFill>
              <a:schemeClr val="bg1"/>
            </a:solidFill>
          </a:ln>
          <a:effectLst/>
        </c:spPr>
        <c:dLbl>
          <c:idx val="0"/>
          <c:layout>
            <c:manualLayout>
              <c:x val="2.843885533980994E-3"/>
              <c:y val="-5.349967349218406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1.2464069204442686E-5"/>
                  <c:y val="2.2048066912688718E-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4"/>
              <c:layout>
                <c:manualLayout>
                  <c:x val="2.843885533980994E-3"/>
                  <c:y val="-5.349967349218406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Re-especificação</c:v>
                </c:pt>
                <c:pt idx="4">
                  <c:v>4. Validação EF</c:v>
                </c:pt>
                <c:pt idx="5">
                  <c:v>6. Em implementação (re-especificação)</c:v>
                </c:pt>
              </c:strCache>
            </c:strRef>
          </c:cat>
          <c:val>
            <c:numRef>
              <c:f>'Aux - Pivots2'!$C$112:$C$118</c:f>
              <c:numCache>
                <c:formatCode>General</c:formatCode>
                <c:ptCount val="6"/>
                <c:pt idx="0">
                  <c:v>14</c:v>
                </c:pt>
                <c:pt idx="1">
                  <c:v>204</c:v>
                </c:pt>
                <c:pt idx="2">
                  <c:v>3</c:v>
                </c:pt>
                <c:pt idx="3">
                  <c:v>17</c:v>
                </c:pt>
                <c:pt idx="4">
                  <c:v>1</c:v>
                </c:pt>
                <c:pt idx="5">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23</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1">
                  <c:v>7</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5">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2">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dLbl>
          <c:idx val="0"/>
          <c:layout>
            <c:manualLayout>
              <c:x val="-2.4605239818209737E-2"/>
              <c:y val="-4.50401087488106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5"/>
          </a:solidFill>
          <a:ln>
            <a:solidFill>
              <a:schemeClr val="bg1"/>
            </a:solidFill>
          </a:ln>
          <a:effectLst/>
        </c:spPr>
        <c:dLbl>
          <c:idx val="0"/>
          <c:layout>
            <c:manualLayout>
              <c:x val="-1.0934585796727568E-2"/>
              <c:y val="-5.45201650241212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5.4678310707133139E-3"/>
              <c:y val="-9.00802174976214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2.4605239818209737E-2"/>
                  <c:y val="-4.50401087488106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8.201746606069895E-3"/>
                  <c:y val="1.8016043499524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1.0934585796727568E-2"/>
                  <c:y val="-5.452016502412128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5.4678310707133139E-3"/>
                  <c:y val="-9.008021749762141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2.1 Em Teste</c:v>
                </c:pt>
                <c:pt idx="2">
                  <c:v>5. Em Correção</c:v>
                </c:pt>
                <c:pt idx="3">
                  <c:v>4. Validação EF</c:v>
                </c:pt>
                <c:pt idx="4">
                  <c:v>3. Pendente de outros desenvolvimentos</c:v>
                </c:pt>
              </c:strCache>
            </c:strRef>
          </c:cat>
          <c:val>
            <c:numRef>
              <c:f>'Aux - Pivots2'!$C$155:$C$160</c:f>
              <c:numCache>
                <c:formatCode>General</c:formatCode>
                <c:ptCount val="5"/>
                <c:pt idx="0">
                  <c:v>119</c:v>
                </c:pt>
                <c:pt idx="1">
                  <c:v>3</c:v>
                </c:pt>
                <c:pt idx="2">
                  <c:v>1</c:v>
                </c:pt>
                <c:pt idx="3">
                  <c:v>2</c:v>
                </c:pt>
                <c:pt idx="4">
                  <c:v>10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strCache>
            </c:strRef>
          </c:cat>
          <c:val>
            <c:numRef>
              <c:f>'Aux - Pivots2'!$C$24:$C$32</c:f>
              <c:numCache>
                <c:formatCode>General</c:formatCode>
                <c:ptCount val="8"/>
                <c:pt idx="0">
                  <c:v>24</c:v>
                </c:pt>
                <c:pt idx="1">
                  <c:v>470</c:v>
                </c:pt>
                <c:pt idx="2">
                  <c:v>6</c:v>
                </c:pt>
                <c:pt idx="3">
                  <c:v>10</c:v>
                </c:pt>
                <c:pt idx="4">
                  <c:v>15</c:v>
                </c:pt>
                <c:pt idx="5">
                  <c:v>1</c:v>
                </c:pt>
                <c:pt idx="6">
                  <c:v>6</c:v>
                </c:pt>
                <c:pt idx="7">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147</c:v>
                </c:pt>
                <c:pt idx="1">
                  <c:v>204</c:v>
                </c:pt>
                <c:pt idx="2">
                  <c:v>119</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c:v>
                </c:pt>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10</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0">
                  <c:v>12</c:v>
                </c:pt>
                <c:pt idx="1">
                  <c:v>1</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1</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1">
                  <c:v>6</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Pivots2'!$J$11:$J$14</c:f>
              <c:numCache>
                <c:formatCode>General</c:formatCode>
                <c:ptCount val="3"/>
                <c:pt idx="1">
                  <c:v>17</c:v>
                </c:pt>
              </c:numCache>
            </c:numRef>
          </c:val>
          <c:extLst>
            <c:ext xmlns:c16="http://schemas.microsoft.com/office/drawing/2014/chart" uri="{C3380CC4-5D6E-409C-BE32-E72D297353CC}">
              <c16:uniqueId val="{00000000-B77E-42F9-92E1-4AA9F604166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83</xdr:row>
      <xdr:rowOff>203200</xdr:rowOff>
    </xdr:from>
    <xdr:to>
      <xdr:col>5</xdr:col>
      <xdr:colOff>989518</xdr:colOff>
      <xdr:row>95</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85</xdr:row>
      <xdr:rowOff>56603</xdr:rowOff>
    </xdr:from>
    <xdr:to>
      <xdr:col>14</xdr:col>
      <xdr:colOff>631909</xdr:colOff>
      <xdr:row>85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86</xdr:row>
      <xdr:rowOff>58238</xdr:rowOff>
    </xdr:from>
    <xdr:to>
      <xdr:col>14</xdr:col>
      <xdr:colOff>628099</xdr:colOff>
      <xdr:row>86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56063</xdr:rowOff>
    </xdr:from>
    <xdr:to>
      <xdr:col>14</xdr:col>
      <xdr:colOff>628099</xdr:colOff>
      <xdr:row>87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59332</xdr:rowOff>
    </xdr:from>
    <xdr:to>
      <xdr:col>14</xdr:col>
      <xdr:colOff>628099</xdr:colOff>
      <xdr:row>89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58791</xdr:rowOff>
    </xdr:from>
    <xdr:to>
      <xdr:col>14</xdr:col>
      <xdr:colOff>628099</xdr:colOff>
      <xdr:row>91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93</xdr:row>
      <xdr:rowOff>60155</xdr:rowOff>
    </xdr:from>
    <xdr:to>
      <xdr:col>14</xdr:col>
      <xdr:colOff>631909</xdr:colOff>
      <xdr:row>93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58521</xdr:rowOff>
    </xdr:from>
    <xdr:to>
      <xdr:col>14</xdr:col>
      <xdr:colOff>628099</xdr:colOff>
      <xdr:row>92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60414</xdr:rowOff>
    </xdr:from>
    <xdr:to>
      <xdr:col>14</xdr:col>
      <xdr:colOff>621111</xdr:colOff>
      <xdr:row>109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110</xdr:row>
      <xdr:rowOff>56941</xdr:rowOff>
    </xdr:from>
    <xdr:to>
      <xdr:col>14</xdr:col>
      <xdr:colOff>624921</xdr:colOff>
      <xdr:row>110</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111</xdr:row>
      <xdr:rowOff>62994</xdr:rowOff>
    </xdr:from>
    <xdr:to>
      <xdr:col>14</xdr:col>
      <xdr:colOff>624921</xdr:colOff>
      <xdr:row>111</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113</xdr:row>
      <xdr:rowOff>66849</xdr:rowOff>
    </xdr:from>
    <xdr:to>
      <xdr:col>14</xdr:col>
      <xdr:colOff>625339</xdr:colOff>
      <xdr:row>113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114</xdr:row>
      <xdr:rowOff>61051</xdr:rowOff>
    </xdr:from>
    <xdr:to>
      <xdr:col>14</xdr:col>
      <xdr:colOff>624921</xdr:colOff>
      <xdr:row>114</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115</xdr:row>
      <xdr:rowOff>63293</xdr:rowOff>
    </xdr:from>
    <xdr:to>
      <xdr:col>14</xdr:col>
      <xdr:colOff>624921</xdr:colOff>
      <xdr:row>115</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116</xdr:row>
      <xdr:rowOff>63629</xdr:rowOff>
    </xdr:from>
    <xdr:to>
      <xdr:col>14</xdr:col>
      <xdr:colOff>624921</xdr:colOff>
      <xdr:row>116</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144</xdr:row>
      <xdr:rowOff>56604</xdr:rowOff>
    </xdr:from>
    <xdr:to>
      <xdr:col>14</xdr:col>
      <xdr:colOff>624919</xdr:colOff>
      <xdr:row>144</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145</xdr:row>
      <xdr:rowOff>58608</xdr:rowOff>
    </xdr:from>
    <xdr:to>
      <xdr:col>14</xdr:col>
      <xdr:colOff>628729</xdr:colOff>
      <xdr:row>145</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146</xdr:row>
      <xdr:rowOff>54897</xdr:rowOff>
    </xdr:from>
    <xdr:to>
      <xdr:col>14</xdr:col>
      <xdr:colOff>628729</xdr:colOff>
      <xdr:row>146</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148</xdr:row>
      <xdr:rowOff>63989</xdr:rowOff>
    </xdr:from>
    <xdr:to>
      <xdr:col>14</xdr:col>
      <xdr:colOff>625339</xdr:colOff>
      <xdr:row>148</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149</xdr:row>
      <xdr:rowOff>56048</xdr:rowOff>
    </xdr:from>
    <xdr:to>
      <xdr:col>14</xdr:col>
      <xdr:colOff>628729</xdr:colOff>
      <xdr:row>149</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150</xdr:row>
      <xdr:rowOff>56146</xdr:rowOff>
    </xdr:from>
    <xdr:to>
      <xdr:col>14</xdr:col>
      <xdr:colOff>628729</xdr:colOff>
      <xdr:row>150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152</xdr:row>
      <xdr:rowOff>60156</xdr:rowOff>
    </xdr:from>
    <xdr:to>
      <xdr:col>14</xdr:col>
      <xdr:colOff>624919</xdr:colOff>
      <xdr:row>152</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151</xdr:row>
      <xdr:rowOff>54340</xdr:rowOff>
    </xdr:from>
    <xdr:to>
      <xdr:col>14</xdr:col>
      <xdr:colOff>628729</xdr:colOff>
      <xdr:row>151</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108</xdr:row>
      <xdr:rowOff>76535</xdr:rowOff>
    </xdr:from>
    <xdr:to>
      <xdr:col>14</xdr:col>
      <xdr:colOff>246753</xdr:colOff>
      <xdr:row>131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107</xdr:row>
      <xdr:rowOff>45017</xdr:rowOff>
    </xdr:from>
    <xdr:to>
      <xdr:col>5</xdr:col>
      <xdr:colOff>956836</xdr:colOff>
      <xdr:row>120</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143</xdr:row>
      <xdr:rowOff>37660</xdr:rowOff>
    </xdr:from>
    <xdr:to>
      <xdr:col>14</xdr:col>
      <xdr:colOff>401732</xdr:colOff>
      <xdr:row>163</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143</xdr:row>
      <xdr:rowOff>46501</xdr:rowOff>
    </xdr:from>
    <xdr:to>
      <xdr:col>6</xdr:col>
      <xdr:colOff>108857</xdr:colOff>
      <xdr:row>155</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172</xdr:row>
      <xdr:rowOff>60414</xdr:rowOff>
    </xdr:from>
    <xdr:to>
      <xdr:col>14</xdr:col>
      <xdr:colOff>621111</xdr:colOff>
      <xdr:row>172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173</xdr:row>
      <xdr:rowOff>57538</xdr:rowOff>
    </xdr:from>
    <xdr:to>
      <xdr:col>14</xdr:col>
      <xdr:colOff>621111</xdr:colOff>
      <xdr:row>173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174</xdr:row>
      <xdr:rowOff>56118</xdr:rowOff>
    </xdr:from>
    <xdr:to>
      <xdr:col>14</xdr:col>
      <xdr:colOff>621111</xdr:colOff>
      <xdr:row>174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175</xdr:row>
      <xdr:rowOff>60189</xdr:rowOff>
    </xdr:from>
    <xdr:to>
      <xdr:col>14</xdr:col>
      <xdr:colOff>632959</xdr:colOff>
      <xdr:row>175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176</xdr:row>
      <xdr:rowOff>74234</xdr:rowOff>
    </xdr:from>
    <xdr:to>
      <xdr:col>14</xdr:col>
      <xdr:colOff>621111</xdr:colOff>
      <xdr:row>176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177</xdr:row>
      <xdr:rowOff>74943</xdr:rowOff>
    </xdr:from>
    <xdr:to>
      <xdr:col>14</xdr:col>
      <xdr:colOff>621111</xdr:colOff>
      <xdr:row>177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179</xdr:row>
      <xdr:rowOff>56346</xdr:rowOff>
    </xdr:from>
    <xdr:to>
      <xdr:col>14</xdr:col>
      <xdr:colOff>621111</xdr:colOff>
      <xdr:row>179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178</xdr:row>
      <xdr:rowOff>92090</xdr:rowOff>
    </xdr:from>
    <xdr:to>
      <xdr:col>14</xdr:col>
      <xdr:colOff>621111</xdr:colOff>
      <xdr:row>178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174</xdr:row>
      <xdr:rowOff>130394</xdr:rowOff>
    </xdr:from>
    <xdr:to>
      <xdr:col>14</xdr:col>
      <xdr:colOff>369793</xdr:colOff>
      <xdr:row>177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170</xdr:row>
      <xdr:rowOff>78081</xdr:rowOff>
    </xdr:from>
    <xdr:to>
      <xdr:col>6</xdr:col>
      <xdr:colOff>327030</xdr:colOff>
      <xdr:row>182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84</xdr:row>
      <xdr:rowOff>85830</xdr:rowOff>
    </xdr:from>
    <xdr:to>
      <xdr:col>14</xdr:col>
      <xdr:colOff>352159</xdr:colOff>
      <xdr:row>95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88</xdr:row>
      <xdr:rowOff>53887</xdr:rowOff>
    </xdr:from>
    <xdr:to>
      <xdr:col>14</xdr:col>
      <xdr:colOff>628099</xdr:colOff>
      <xdr:row>88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62872</xdr:rowOff>
    </xdr:from>
    <xdr:to>
      <xdr:col>14</xdr:col>
      <xdr:colOff>628099</xdr:colOff>
      <xdr:row>90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112</xdr:row>
      <xdr:rowOff>59522</xdr:rowOff>
    </xdr:from>
    <xdr:to>
      <xdr:col>14</xdr:col>
      <xdr:colOff>634864</xdr:colOff>
      <xdr:row>112</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147</xdr:row>
      <xdr:rowOff>56900</xdr:rowOff>
    </xdr:from>
    <xdr:to>
      <xdr:col>14</xdr:col>
      <xdr:colOff>645244</xdr:colOff>
      <xdr:row>147</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10</xdr:col>
      <xdr:colOff>76200</xdr:colOff>
      <xdr:row>32</xdr:row>
      <xdr:rowOff>212271</xdr:rowOff>
    </xdr:from>
    <xdr:to>
      <xdr:col>12</xdr:col>
      <xdr:colOff>12700</xdr:colOff>
      <xdr:row>39</xdr:row>
      <xdr:rowOff>121557</xdr:rowOff>
    </xdr:to>
    <xdr:sp macro="" textlink="">
      <xdr:nvSpPr>
        <xdr:cNvPr id="61" name="Rectangle 60"/>
        <xdr:cNvSpPr/>
      </xdr:nvSpPr>
      <xdr:spPr>
        <a:xfrm>
          <a:off x="8331200" y="3323771"/>
          <a:ext cx="1816100" cy="1445986"/>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79</xdr:col>
      <xdr:colOff>219062</xdr:colOff>
      <xdr:row>12</xdr:row>
      <xdr:rowOff>19050</xdr:rowOff>
    </xdr:from>
    <xdr:to>
      <xdr:col>79</xdr:col>
      <xdr:colOff>219062</xdr:colOff>
      <xdr:row>254</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44611005" y="1314450"/>
          <a:ext cx="0" cy="127349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69.53338310185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69.5333907407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4. Validação EF"/>
        <s v="5. Em Corre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69.53339293981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69.53339479166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4. Validação EF"/>
        <s v="5. Em Corre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69.53339652777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69.53339872685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69.533400694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69.533409953707"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8">
        <s v="4. Validação EF"/>
        <s v="1. Concluído"/>
        <s v="0. Cancelado"/>
        <s v="2.2 Em Re-especificação"/>
        <s v="2.1 Em Teste"/>
        <s v="6. Em implementação (re-especificação)"/>
        <s v="3. Pendente de outros desenvolvimentos"/>
        <s v="5. Em Correção"/>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 validar por CDO"/>
    <d v="2024-08-06T00:00:00"/>
    <d v="2024-11-28T00:00:00"/>
    <s v=""/>
    <m/>
    <m/>
    <x v="0"/>
  </r>
  <r>
    <x v="0"/>
    <s v="Bens Imóveis - Input"/>
    <x v="1"/>
    <s v="ENERGY_CERTIFICATE_EST_INPUT"/>
    <s v="PROPERTY_BANK_ID"/>
    <x v="0"/>
    <s v="6. Em implementação (re-especificação)"/>
    <s v="A validar por CDO"/>
    <d v="2024-08-06T00:00:00"/>
    <d v="2024-11-28T00:00:00"/>
    <s v=""/>
    <m/>
    <m/>
    <x v="0"/>
  </r>
  <r>
    <x v="0"/>
    <s v="Bens Imóveis - Input"/>
    <x v="1"/>
    <s v="ENERGY_CERTIFICATE_EST_INPUT"/>
    <s v="ENCRYPTED_KEY"/>
    <x v="0"/>
    <s v="6. Em implementação (re-especificação)"/>
    <s v="A validar por CDO"/>
    <d v="2024-08-06T00:00:00"/>
    <d v="2024-11-28T00:00:00"/>
    <s v=""/>
    <m/>
    <m/>
    <x v="0"/>
  </r>
  <r>
    <x v="0"/>
    <s v="Bens Imóveis - Input"/>
    <x v="1"/>
    <s v="ENERGY_CERTIFICATE_EST_INPUT"/>
    <s v="PROPERTY_BRANCH_CODE"/>
    <x v="0"/>
    <s v="6. Em implementação (re-especificação)"/>
    <s v="A validar por CDO"/>
    <d v="2024-08-06T00:00:00"/>
    <d v="2024-11-28T00:00:00"/>
    <s v=""/>
    <m/>
    <m/>
    <x v="0"/>
  </r>
  <r>
    <x v="0"/>
    <s v="Bens Imóveis - Input"/>
    <x v="1"/>
    <s v="ENERGY_CERTIFICATE_EST_INPUT"/>
    <s v="PROPERTY_CONTRACT_ID"/>
    <x v="0"/>
    <s v="6. Em implementação (re-especificação)"/>
    <s v="A validar por CDO"/>
    <d v="2024-08-06T00:00:00"/>
    <d v="2024-11-28T00:00:00"/>
    <s v=""/>
    <m/>
    <m/>
    <x v="0"/>
  </r>
  <r>
    <x v="0"/>
    <s v="Bens Imóveis - Input"/>
    <x v="1"/>
    <s v="ENERGY_CERTIFICATE_EST_INPUT"/>
    <s v="PROPERTY_REFERENCE_CODE"/>
    <x v="0"/>
    <s v="6. Em implementação (re-especificação)"/>
    <s v="A validar por CDO"/>
    <d v="2024-08-06T00:00:00"/>
    <d v="2024-11-28T00:00:00"/>
    <s v=""/>
    <m/>
    <m/>
    <x v="0"/>
  </r>
  <r>
    <x v="0"/>
    <s v="Bens Imóveis - Input"/>
    <x v="1"/>
    <s v="ENERGY_CERTIFICATE_EST_INPUT"/>
    <s v="DATA_EXTRACTION_DATE"/>
    <x v="0"/>
    <s v="6. Em implementação (re-especificação)"/>
    <s v="A validar por CDO"/>
    <d v="2024-08-06T00:00:00"/>
    <d v="2024-11-28T00:00:00"/>
    <s v=""/>
    <m/>
    <m/>
    <x v="0"/>
  </r>
  <r>
    <x v="0"/>
    <s v="Bens Imóveis - Input"/>
    <x v="1"/>
    <s v="ENERGY_CERTIFICATE_EST_INPUT"/>
    <s v="EPC"/>
    <x v="0"/>
    <s v="6. Em implementação (re-especificação)"/>
    <s v="A validar por CDO"/>
    <d v="2024-08-06T00:00:00"/>
    <d v="2024-11-28T00:00:00"/>
    <s v=""/>
    <m/>
    <m/>
    <x v="0"/>
  </r>
  <r>
    <x v="0"/>
    <s v="Bens Imóveis - Input"/>
    <x v="1"/>
    <s v="ENERGY_CERTIFICATE_EST_INPUT"/>
    <s v="DATA_PROVIDER"/>
    <x v="0"/>
    <s v="6. Em implementação (re-especificação)"/>
    <s v="A validar por CDO"/>
    <d v="2024-08-06T00:00:00"/>
    <d v="2024-11-28T00:00:00"/>
    <s v=""/>
    <m/>
    <m/>
    <x v="0"/>
  </r>
  <r>
    <x v="0"/>
    <s v="Bens Imóveis - Input"/>
    <x v="1"/>
    <s v="ENERGY_CERTIFICATE_EST_INPUT"/>
    <s v="ACTUAL_VALUE_IND"/>
    <x v="0"/>
    <s v="6. Em implementação (re-especificação)"/>
    <s v="A validar por CDO"/>
    <d v="2024-08-06T00:00:00"/>
    <d v="2024-11-28T00:00:00"/>
    <s v=""/>
    <m/>
    <m/>
    <x v="0"/>
  </r>
  <r>
    <x v="0"/>
    <s v="Bens Imóveis - Input"/>
    <x v="1"/>
    <s v="ENERGY_CERTIFICATE_EST_INPUT"/>
    <s v="QUALITY_SCORE"/>
    <x v="0"/>
    <s v="6. Em implementação (re-especificação)"/>
    <s v="A validar por CDO"/>
    <d v="2024-08-06T00:00:00"/>
    <d v="2024-11-28T00:00:00"/>
    <s v=""/>
    <m/>
    <m/>
    <x v="0"/>
  </r>
  <r>
    <x v="0"/>
    <s v="Bens Imóveis - Input"/>
    <x v="1"/>
    <s v="ENERGY_CERTIFICATE_EST_INPUT"/>
    <s v="ENERGY_CONSUMPTION_VALUE_YEAR"/>
    <x v="0"/>
    <s v="6. Em implementação (re-especificação)"/>
    <s v="A validar por CDO"/>
    <d v="2024-08-06T00:00:00"/>
    <d v="2024-11-28T00:00:00"/>
    <s v=""/>
    <m/>
    <m/>
    <x v="0"/>
  </r>
  <r>
    <x v="0"/>
    <s v="Bens Imóveis - Input"/>
    <x v="1"/>
    <s v="ENERGY_CERTIFICATE_EST_INPUT"/>
    <s v="CARBON_EMISSION_VALUE_YEAR"/>
    <x v="0"/>
    <s v="6. Em implementação (re-especificação)"/>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2.1 Em Teste"/>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0"/>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3"/>
    <s v="1. Concluído"/>
    <s v="Re-especificação "/>
    <d v="2024-09-26T00:00:00"/>
    <d v="2024-11-18T00:00:00"/>
    <d v="2024-11-19T00:00:00"/>
    <m/>
    <m/>
    <x v="1"/>
  </r>
  <r>
    <x v="0"/>
    <s v="Modelo Verde - Output"/>
    <x v="1"/>
    <s v="modesg_out_empr_info_nfin"/>
    <s v="flg_emprs_excl_paris"/>
    <x v="4"/>
    <s v="6. Em implementação (re-especificação)"/>
    <s v="Re-especificação "/>
    <d v="2024-09-18T00:00:00"/>
    <d v="2024-11-18T00:00:00"/>
    <d v="2024-11-19T00:00:00"/>
    <m/>
    <m/>
    <x v="1"/>
  </r>
  <r>
    <x v="0"/>
    <s v="Modelo Verde - Output"/>
    <x v="1"/>
    <s v="modesg_out_empr_info_nfin"/>
    <s v="flg_nfrd"/>
    <x v="4"/>
    <s v="6. Em implementação (re-especificação)"/>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6. Em implementação (re-especificação)"/>
    <s v="Re-especificação "/>
    <d v="2024-10-04T00:00:00"/>
    <d v="2024-11-18T00:00:00"/>
    <d v="2024-11-19T00:00:00"/>
    <m/>
    <m/>
    <x v="1"/>
  </r>
  <r>
    <x v="0"/>
    <s v="Modelo Verde - Output"/>
    <x v="1"/>
    <s v="modesg_out_empr_info_nfin"/>
    <s v="origem_flg_emprs_excl_paris"/>
    <x v="4"/>
    <s v="6. Em implementação (re-especificação)"/>
    <s v="Re-especificação "/>
    <d v="2024-09-18T00:00:00"/>
    <d v="2024-11-18T00:00:00"/>
    <d v="2024-11-19T00:00:00"/>
    <m/>
    <m/>
    <x v="1"/>
  </r>
  <r>
    <x v="0"/>
    <s v="Modelo Verde - Output"/>
    <x v="1"/>
    <s v="modesg_out_empr_info_nfin"/>
    <s v="origem_flg_nfrd"/>
    <x v="1"/>
    <s v="6. Em implementação (re-especificaçã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5"/>
    <s v="1. Concluído"/>
    <s v="A concluir re-especificação"/>
    <d v="2024-10-04T00:00:00"/>
    <d v="2024-11-25T00:00:00"/>
    <d v="2024-11-26T00:00:00"/>
    <m/>
    <m/>
    <x v="1"/>
  </r>
  <r>
    <x v="0"/>
    <s v="Modelo Verde - Output"/>
    <x v="1"/>
    <s v="modesg_out_empr_info_nfin"/>
    <s v="origem_scp2_emss"/>
    <x v="5"/>
    <s v="1. Concluído"/>
    <s v="A concluir re-especificação"/>
    <d v="2024-10-04T00:00:00"/>
    <d v="2024-11-25T00:00:00"/>
    <d v="2024-11-26T00:00:00"/>
    <m/>
    <m/>
    <x v="1"/>
  </r>
  <r>
    <x v="0"/>
    <s v="Modelo Verde - Output"/>
    <x v="1"/>
    <s v="modesg_out_empr_info_nfin"/>
    <s v="origem_scp3_emss"/>
    <x v="5"/>
    <s v="1. Concluíd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5"/>
    <s v="1. Concluído"/>
    <s v="A concluir re-especificação"/>
    <d v="2024-10-04T00:00:00"/>
    <d v="2024-11-25T00:00:00"/>
    <d v="2024-11-26T00:00:00"/>
    <m/>
    <m/>
    <x v="1"/>
  </r>
  <r>
    <x v="0"/>
    <s v="Modelo Verde - Output"/>
    <x v="1"/>
    <s v="modesg_out_empr_info_nfin"/>
    <s v="scp2_emss"/>
    <x v="5"/>
    <s v="1. Concluído"/>
    <s v="A concluir re-especificação"/>
    <d v="2024-10-04T00:00:00"/>
    <d v="2024-11-25T00:00:00"/>
    <d v="2024-11-26T00:00:00"/>
    <m/>
    <m/>
    <x v="1"/>
  </r>
  <r>
    <x v="0"/>
    <s v="Modelo Verde - Output"/>
    <x v="1"/>
    <s v="modesg_out_empr_info_nfin"/>
    <s v="scp3_emss"/>
    <x v="5"/>
    <s v="1. Concluíd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6"/>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6"/>
    <s v="1. Concluído"/>
    <m/>
    <s v=""/>
    <d v="2024-11-25T00:00:00"/>
    <d v="2024-10-31T00:00:00"/>
    <m/>
    <m/>
    <x v="2"/>
  </r>
  <r>
    <x v="0"/>
    <s v="Pilar III"/>
    <x v="1"/>
    <s v="lt003_entity"/>
    <s v="cntrprty_emssns_scp2"/>
    <x v="6"/>
    <s v="1. Concluído"/>
    <m/>
    <s v=""/>
    <d v="2024-11-25T00:00:00"/>
    <d v="2024-10-31T00:00:00"/>
    <m/>
    <m/>
    <x v="2"/>
  </r>
  <r>
    <x v="0"/>
    <s v="Pilar III"/>
    <x v="1"/>
    <s v="lt003_entity"/>
    <s v="cntrprty_emssns_scp3"/>
    <x v="6"/>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6"/>
    <s v="1. Concluído"/>
    <m/>
    <d v="2024-10-24T00:00:00"/>
    <s v=""/>
    <d v="2024-12-18T00:00:00"/>
    <d v="2024-10-23T00:00:00"/>
    <m/>
    <x v="2"/>
  </r>
  <r>
    <x v="0"/>
    <s v="Pilar III"/>
    <x v="1"/>
    <s v="lt003_entity"/>
    <s v="grp_emssns_scp2"/>
    <x v="6"/>
    <s v="1. Concluído"/>
    <m/>
    <d v="2024-10-24T00:00:00"/>
    <s v=""/>
    <d v="2024-12-18T00:00:00"/>
    <d v="2024-10-23T00:00:00"/>
    <m/>
    <x v="2"/>
  </r>
  <r>
    <x v="0"/>
    <s v="Pilar III"/>
    <x v="1"/>
    <s v="lt003_entity"/>
    <s v="grp_emssns_scp3"/>
    <x v="6"/>
    <s v="1. Concluíd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5. Em Corre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5. Em Correção"/>
    <m/>
    <d v="2024-10-18T00:00:00"/>
    <d v="2024-10-31T00:00:00"/>
    <d v="2024-10-31T00:00:00"/>
    <m/>
    <m/>
    <x v="2"/>
  </r>
  <r>
    <x v="0"/>
    <s v="Pilar III"/>
    <x v="1"/>
    <s v="lt004_protection"/>
    <s v="emssns_scp1_prtctn"/>
    <x v="1"/>
    <s v="2.1 Em Teste"/>
    <m/>
    <s v=""/>
    <d v="2024-12-05T00:00:00"/>
    <d v="2024-12-05T00:00:00"/>
    <m/>
    <m/>
    <x v="2"/>
  </r>
  <r>
    <x v="0"/>
    <s v="Pilar III"/>
    <x v="1"/>
    <s v="lt004_protection"/>
    <s v="emssns_scp2_prtctn"/>
    <x v="1"/>
    <s v="2.1 Em Teste"/>
    <m/>
    <s v=""/>
    <d v="2024-12-05T00:00:00"/>
    <d v="2024-12-05T00:00:00"/>
    <m/>
    <m/>
    <x v="2"/>
  </r>
  <r>
    <x v="0"/>
    <s v="Pilar III"/>
    <x v="1"/>
    <s v="lt004_protection"/>
    <s v="emssns_scp3_prtctn"/>
    <x v="1"/>
    <s v="2.1 Em Teste"/>
    <m/>
    <s v=""/>
    <d v="2024-12-05T00:00:00"/>
    <d v="2024-12-05T00:00:00"/>
    <m/>
    <m/>
    <x v="2"/>
  </r>
  <r>
    <x v="0"/>
    <s v="Pilar III"/>
    <x v="1"/>
    <s v="lt004_protection"/>
    <s v="mthd_usd_prtctn_scp_1"/>
    <x v="1"/>
    <s v="2.1 Em Teste"/>
    <m/>
    <s v=""/>
    <d v="2024-12-05T00:00:00"/>
    <d v="2024-12-05T00:00:00"/>
    <m/>
    <m/>
    <x v="2"/>
  </r>
  <r>
    <x v="0"/>
    <s v="Pilar III"/>
    <x v="1"/>
    <s v="lt004_protection"/>
    <s v="mthd_usd_prtctn_scp_2"/>
    <x v="1"/>
    <s v="2.1 Em Teste"/>
    <m/>
    <s v=""/>
    <d v="2024-12-05T00:00:00"/>
    <d v="2024-12-05T00:00:00"/>
    <m/>
    <m/>
    <x v="2"/>
  </r>
  <r>
    <x v="0"/>
    <s v="Pilar III"/>
    <x v="1"/>
    <s v="lt004_protection"/>
    <s v="mthd_usd_prtctn_scp_3"/>
    <x v="1"/>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0"/>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6"/>
    <s v="1. Concluído"/>
    <m/>
    <s v=""/>
    <d v="2024-12-05T00:00:00"/>
    <d v="2024-12-05T00:00:00"/>
    <d v="2024-10-28T00:00:00"/>
    <m/>
    <x v="2"/>
  </r>
  <r>
    <x v="0"/>
    <s v="Pilar III"/>
    <x v="1"/>
    <s v="lt002_instrument"/>
    <s v="mthd_usd_instrmnt_scp_2"/>
    <x v="6"/>
    <s v="1. Concluído"/>
    <m/>
    <s v=""/>
    <d v="2024-12-05T00:00:00"/>
    <d v="2024-12-05T00:00:00"/>
    <d v="2024-10-28T00:00:00"/>
    <m/>
    <x v="2"/>
  </r>
  <r>
    <x v="0"/>
    <s v="Pilar III"/>
    <x v="1"/>
    <s v="lt002_instrument"/>
    <s v="mthd_usd_instrmnt_scp_3"/>
    <x v="6"/>
    <s v="1. Concluíd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0"/>
    <s v="4. Validação EF"/>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5. Em Correção"/>
    <s v="Pendente de feedback de CDO - Reunião marcada para dia 28/10"/>
    <d v="2024-10-23T00:00:00"/>
    <d v="2024-11-28T00:00:00"/>
    <d v="2024-11-28T00:00:00"/>
    <d v="2024-10-30T00:00:00"/>
    <m/>
    <x v="2"/>
  </r>
  <r>
    <x v="0"/>
    <s v="Pilar III"/>
    <x v="1"/>
    <s v="lt004_protection"/>
    <s v="orgnl_prtctn_vl"/>
    <x v="7"/>
    <s v="5. Em Correção"/>
    <s v="26/07/2024: Campo não espelhado na documentação da Deloitte (LT ESTR)"/>
    <d v="2024-10-30T00:00:00"/>
    <d v="2024-11-15T00:00:00"/>
    <d v="2024-11-15T00:00:00"/>
    <d v="2024-10-30T00:00:00"/>
    <m/>
    <x v="2"/>
  </r>
  <r>
    <x v="0"/>
    <s v="Pilar III"/>
    <x v="1"/>
    <s v="lt004_protection"/>
    <s v="prtctn_vl"/>
    <x v="1"/>
    <s v="5. Em Correçã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1. Concluído"/>
    <s v="Tema de Loan Tape Estrutural"/>
    <d v="2024-10-28T00:00:00"/>
    <d v="2024-11-28T00:00:00"/>
    <d v="2024-11-28T00:00:00"/>
    <m/>
    <m/>
    <x v="2"/>
  </r>
  <r>
    <x v="0"/>
    <s v="Pilar III"/>
    <x v="1"/>
    <s v="lt004_protection"/>
    <s v="flg_exec"/>
    <x v="1"/>
    <s v="1. Concluído"/>
    <s v="Tema de Loan Tape Estrutural"/>
    <d v="2024-10-28T00:00:00"/>
    <d v="2024-11-28T00:00:00"/>
    <d v="2024-11-28T00:00:00"/>
    <m/>
    <m/>
    <x v="2"/>
  </r>
  <r>
    <x v="0"/>
    <s v="Pilar III"/>
    <x v="1"/>
    <s v="lt004_protection"/>
    <s v="flg_col"/>
    <x v="1"/>
    <s v="5. Em Correção"/>
    <s v="Tema de Loan Tape Estrutural"/>
    <d v="2024-10-28T00:00:00"/>
    <d v="2024-11-28T00:00:00"/>
    <d v="2024-11-28T00:00:00"/>
    <m/>
    <m/>
    <x v="2"/>
  </r>
  <r>
    <x v="0"/>
    <s v="Pilar III"/>
    <x v="1"/>
    <s v="lt004_protection"/>
    <s v="flg_pro"/>
    <x v="1"/>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4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4" cacheId="6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9">
        <item x="2"/>
        <item x="1"/>
        <item x="4"/>
        <item x="6"/>
        <item x="0"/>
        <item x="7"/>
        <item x="5"/>
        <item x="3"/>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9">
    <i>
      <x/>
    </i>
    <i>
      <x v="1"/>
    </i>
    <i>
      <x v="2"/>
    </i>
    <i>
      <x v="3"/>
    </i>
    <i>
      <x v="4"/>
    </i>
    <i>
      <x v="5"/>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 chart="6" format="27">
      <pivotArea type="data" outline="0" fieldPosition="0">
        <references count="3">
          <reference field="4294967294" count="1" selected="0">
            <x v="0"/>
          </reference>
          <reference field="3" count="1" selected="0">
            <x v="2"/>
          </reference>
          <reference field="5" count="1" selected="0">
            <x v="3"/>
          </reference>
        </references>
      </pivotArea>
    </chartFormat>
    <chartFormat chart="6" format="28">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6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9">
        <item x="2"/>
        <item x="1"/>
        <item x="4"/>
        <item x="6"/>
        <item x="0"/>
        <item x="7"/>
        <item x="5"/>
        <item x="3"/>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9">
    <i>
      <x/>
    </i>
    <i>
      <x v="1"/>
    </i>
    <i>
      <x v="2"/>
    </i>
    <i>
      <x v="3"/>
    </i>
    <i>
      <x v="4"/>
    </i>
    <i>
      <x v="5"/>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7" format="22" series="1">
      <pivotArea type="data" outline="0" fieldPosition="0">
        <references count="2">
          <reference field="4294967294" count="1" selected="0">
            <x v="0"/>
          </reference>
          <reference field="5" count="1" selected="0">
            <x v="0"/>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 chart="7" format="49">
      <pivotArea type="data" outline="0" fieldPosition="0">
        <references count="3">
          <reference field="4294967294" count="1" selected="0">
            <x v="0"/>
          </reference>
          <reference field="3" count="1" selected="0">
            <x v="5"/>
          </reference>
          <reference field="5" count="1" selected="0">
            <x v="3"/>
          </reference>
        </references>
      </pivotArea>
    </chartFormat>
    <chartFormat chart="7" format="50"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0"/>
          </reference>
          <reference field="5" count="1" selected="0">
            <x v="4"/>
          </reference>
        </references>
      </pivotArea>
    </chartFormat>
    <chartFormat chart="3" format="52" series="1">
      <pivotArea type="data" outline="0" fieldPosition="0">
        <references count="2">
          <reference field="4294967294" count="1" selected="0">
            <x v="0"/>
          </reference>
          <reference field="5" count="1" selected="0">
            <x v="6"/>
          </reference>
        </references>
      </pivotArea>
    </chartFormat>
    <chartFormat chart="3" format="53" series="1">
      <pivotArea type="data" outline="0" fieldPosition="0">
        <references count="2">
          <reference field="4294967294" count="1" selected="0">
            <x v="0"/>
          </reference>
          <reference field="5" count="1" selected="0">
            <x v="3"/>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6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0" cacheId="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5"/>
        <item x="1"/>
        <item x="4"/>
        <item x="3"/>
        <item x="2"/>
      </items>
    </pivotField>
    <pivotField dataField="1" subtotalTop="0" showAll="0" defaultSubtotal="0"/>
  </pivotFields>
  <rowFields count="1">
    <field x="3"/>
  </rowFields>
  <rowItems count="6">
    <i>
      <x/>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 chart="6" format="31">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8" cacheId="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4">
      <pivotArea type="data" outline="0" fieldPosition="0">
        <references count="2">
          <reference field="4294967294" count="1" selected="0">
            <x v="0"/>
          </reference>
          <reference field="4" count="1" selected="0">
            <x v="6"/>
          </reference>
        </references>
      </pivotArea>
    </chartFormat>
    <chartFormat chart="6" format="45">
      <pivotArea type="data" outline="0" fieldPosition="0">
        <references count="2">
          <reference field="4294967294" count="1" selected="0">
            <x v="0"/>
          </reference>
          <reference field="4" count="1" selected="0">
            <x v="3"/>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4" totalsRowShown="0" headerRowDxfId="302" tableBorderDxfId="301">
  <autoFilter ref="B6:O574">
    <filterColumn colId="1">
      <filters>
        <filter val="Modelo Verde - Input"/>
        <filter val="Modelo Verde - Output"/>
      </filters>
    </filterColumn>
    <filterColumn colId="5">
      <filters>
        <filter val="2.1 Em Teste"/>
        <filter val="4. Validação EF"/>
        <filter val="6. Em implementação (re-especificação)"/>
      </filters>
    </filterColumn>
  </autoFilter>
  <tableColumns count="14">
    <tableColumn id="1" name="Âmbito" dataDxfId="300"/>
    <tableColumn id="2" name="Sub-âmbito" dataDxfId="299"/>
    <tableColumn id="3" name="Tipo de teste" dataDxfId="298"/>
    <tableColumn id="4" name="Tabela" dataDxfId="297"/>
    <tableColumn id="5" name="Campo" dataDxfId="296"/>
    <tableColumn id="6" name="Status Atual" dataDxfId="295"/>
    <tableColumn id="7" name="Status Anterior" dataDxfId="294"/>
    <tableColumn id="8" name="Observações" dataDxfId="293"/>
    <tableColumn id="9" name="Data de Pedido correção/esclarecimento" dataDxfId="292">
      <calculatedColumnFormula>IF(VLOOKUP(A7,'Aux - pivots1'!$A:$E,3,0)=0, "",VLOOKUP(A7,'Aux - pivots1'!$A:$E,3,0))</calculatedColumnFormula>
    </tableColumn>
    <tableColumn id="10" name="Data de correção prevista" dataDxfId="291">
      <calculatedColumnFormula>IF(VLOOKUP(A7,'Aux - pivots1'!$A:$E,4,0)=0, "",VLOOKUP(A7,'Aux - pivots1'!$A:$E,4,0))</calculatedColumnFormula>
    </tableColumn>
    <tableColumn id="11" name="Data de correção efetiva" dataDxfId="290">
      <calculatedColumnFormula>IF(VLOOKUP(A7,'Aux - pivots1'!$A:$E,5,0)=0, "",VLOOKUP(A7,'Aux - pivots1'!$A:$E,5,0))</calculatedColumnFormula>
    </tableColumn>
    <tableColumn id="12" name="Data Prevista de Re-especificação" dataDxfId="289"/>
    <tableColumn id="13" name="Data Prevista de Teste" dataDxfId="288"/>
    <tableColumn id="14" name="Modelo" dataDxfId="287"/>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86" dataDxfId="284" totalsRowDxfId="282" headerRowBorderDxfId="285" tableBorderDxfId="283" totalsRowBorderDxfId="281">
  <autoFilter ref="B8:X1320">
    <filterColumn colId="1">
      <filters>
        <filter val="Modelo Verde - Output"/>
      </filters>
    </filterColumn>
    <filterColumn colId="4">
      <filters>
        <filter val="modesg_out_bens_imoveis"/>
      </filters>
    </filterColumn>
    <filterColumn colId="7">
      <filters>
        <filter val="2.1 Em Teste"/>
        <filter val="3. Pendente de outros desenvolvimentos"/>
        <filter val="4. Validação EF"/>
        <filter val="5. Em Correção"/>
      </filters>
    </filterColumn>
  </autoFilter>
  <tableColumns count="23">
    <tableColumn id="1" name="Âmbito" dataDxfId="280" totalsRowDxfId="279"/>
    <tableColumn id="12" name="Sub-âmbito" dataDxfId="278" totalsRowDxfId="277"/>
    <tableColumn id="2" name="Origem" dataDxfId="276" totalsRowDxfId="275"/>
    <tableColumn id="18" name="Campo Origem" dataDxfId="274" totalsRowDxfId="273"/>
    <tableColumn id="5" name="Tabela" dataDxfId="272" totalsRowDxfId="271"/>
    <tableColumn id="3" name="Campo" dataDxfId="270" totalsRowDxfId="269"/>
    <tableColumn id="20" name="concat" dataDxfId="268" totalsRowDxfId="267">
      <calculatedColumnFormula>Table1[[#This Row],[Tabela]]&amp;Table1[[#This Row],[Campo]]</calculatedColumnFormula>
    </tableColumn>
    <tableColumn id="4" name="Status" dataDxfId="266" totalsRowDxfId="265"/>
    <tableColumn id="19" name="Status2" dataDxfId="264">
      <calculatedColumnFormula>VLOOKUP(Table1[[#This Row],[Status]],Auxiliar!$B$16:$C$24,2,0)</calculatedColumnFormula>
    </tableColumn>
    <tableColumn id="6" name="Tipologia_Testes" dataDxfId="263" totalsRowDxfId="262"/>
    <tableColumn id="10" name="Necessidade de re-especificação? (campo)" dataDxfId="261" totalsRowDxfId="260"/>
    <tableColumn id="9" name="Complexidade" dataDxfId="259" totalsRowDxfId="258"/>
    <tableColumn id="17" name="Data de Alteração Status" dataDxfId="257" totalsRowDxfId="256"/>
    <tableColumn id="8" name="Estimação (horas)" totalsRowFunction="custom" dataDxfId="255" totalsRowDxfId="254">
      <calculatedColumnFormula>INDEX(Auxiliar!$D$5:$F$11,MATCH(Table1[[#This Row],[Tipologia_Testes]],Auxiliar!$B$5:$B$11,0),MATCH(Table1[[#This Row],[Complexidade]],Auxiliar!$D$4:$F$4,0))</calculatedColumnFormula>
      <totalsRowFormula>SUMIF(Table1[Estimação (horas)],"&gt;0")</totalsRowFormula>
    </tableColumn>
    <tableColumn id="7" name="Notas" dataDxfId="253" totalsRowDxfId="252"/>
    <tableColumn id="11" name="Owner" dataDxfId="251" totalsRowDxfId="250"/>
    <tableColumn id="21" name="Data alteração especificação" dataDxfId="249" totalsRowDxfId="248"/>
    <tableColumn id="13" name="Data de inicio testes" dataDxfId="247" totalsRowDxfId="246"/>
    <tableColumn id="14" name="Data de incidência / pedido esclarecimento" dataDxfId="245" totalsRowDxfId="244"/>
    <tableColumn id="15" name="Data de correção/resposta prevista" dataDxfId="243" totalsRowDxfId="242"/>
    <tableColumn id="22" name="Data de correção/resposta efetiva" dataDxfId="241" totalsRowDxfId="240"/>
    <tableColumn id="23" name="Horas efetivas" dataDxfId="239" totalsRowDxfId="238">
      <calculatedColumnFormula>VLOOKUP(Table1[[#This Row],[Status]],Auxiliar!$B$16:$D$24,3,0)*Table1[[#This Row],[Estimação (horas)]]</calculatedColumnFormula>
    </tableColumn>
    <tableColumn id="16" name="Query" dataDxfId="237" totalsRowDxfId="23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2.2 Em Re-especificação</v>
      </c>
      <c r="H368" s="65">
        <f>VLOOKUP(A368,'Aux - pivots1'!$A:$B,2,0)</f>
        <v>3</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2.2 Em Re-especificação</v>
      </c>
      <c r="H369" s="65">
        <f>VLOOKUP(A369,'Aux - pivots1'!$A:$B,2,0)</f>
        <v>3</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2.2 Em Re-especificação</v>
      </c>
      <c r="H370" s="65">
        <f>VLOOKUP(A370,'Aux - pivots1'!$A:$B,2,0)</f>
        <v>3</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2.2 Em Re-especificação</v>
      </c>
      <c r="H371" s="65">
        <f>VLOOKUP(A371,'Aux - pivots1'!$A:$B,2,0)</f>
        <v>3</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2.2 Em Re-especificação</v>
      </c>
      <c r="H431" s="65">
        <f>VLOOKUP(A431,'Aux - pivots1'!$A:$B,2,0)</f>
        <v>3</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2.2 Em Re-especificação</v>
      </c>
      <c r="H432" s="65">
        <f>VLOOKUP(A432,'Aux - pivots1'!$A:$B,2,0)</f>
        <v>3</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2.2 Em Re-especificação</v>
      </c>
      <c r="H433" s="65">
        <f>VLOOKUP(A433,'Aux - pivots1'!$A:$B,2,0)</f>
        <v>3</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2.2 Em Re-especificação</v>
      </c>
      <c r="H434" s="65">
        <f>VLOOKUP(A434,'Aux - pivots1'!$A:$B,2,0)</f>
        <v>3</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2.2 Em Re-especificação</v>
      </c>
      <c r="H435" s="65">
        <f>VLOOKUP(A435,'Aux - pivots1'!$A:$B,2,0)</f>
        <v>3</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2.2 Em Re-especificação</v>
      </c>
      <c r="H437" s="65">
        <f>VLOOKUP(A437,'Aux - pivots1'!$A:$B,2,0)</f>
        <v>3</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2.2 Em Re-especificação</v>
      </c>
      <c r="H438" s="65">
        <f>VLOOKUP(A438,'Aux - pivots1'!$A:$B,2,0)</f>
        <v>3</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2.2 Em Re-especificação</v>
      </c>
      <c r="H439" s="65">
        <f>VLOOKUP(A439,'Aux - pivots1'!$A:$B,2,0)</f>
        <v>3</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2.2 Em Re-especificação</v>
      </c>
      <c r="H440" s="65">
        <f>VLOOKUP(A440,'Aux - pivots1'!$A:$B,2,0)</f>
        <v>3</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2.2 Em Re-especificação</v>
      </c>
      <c r="H441" s="65">
        <f>VLOOKUP(A441,'Aux - pivots1'!$A:$B,2,0)</f>
        <v>3</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2.2 Em Re-especificação</v>
      </c>
      <c r="H442" s="65">
        <f>VLOOKUP(A442,'Aux - pivots1'!$A:$B,2,0)</f>
        <v>3</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2.2 Em Re-especificação</v>
      </c>
      <c r="H444" s="65">
        <f>VLOOKUP(A444,'Aux - pivots1'!$A:$B,2,0)</f>
        <v>3</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2.2 Em Re-especificação</v>
      </c>
      <c r="H445" s="65">
        <f>VLOOKUP(A445,'Aux - pivots1'!$A:$B,2,0)</f>
        <v>3</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35" priority="11" operator="notEqual">
      <formula>0</formula>
    </cfRule>
  </conditionalFormatting>
  <conditionalFormatting sqref="L21:L23">
    <cfRule type="cellIs" dxfId="234" priority="3" operator="notEqual">
      <formula>0</formula>
    </cfRule>
  </conditionalFormatting>
  <conditionalFormatting sqref="L577:L579">
    <cfRule type="cellIs" dxfId="233" priority="2" operator="notEqual">
      <formula>0</formula>
    </cfRule>
  </conditionalFormatting>
  <conditionalFormatting sqref="L582:L636">
    <cfRule type="cellIs" dxfId="232" priority="1" operator="notEqual">
      <formula>0</formula>
    </cfRule>
  </conditionalFormatting>
  <conditionalFormatting sqref="M5:M6 N6:FK6">
    <cfRule type="cellIs" dxfId="231" priority="12" operator="notEqual">
      <formula>0</formula>
    </cfRule>
  </conditionalFormatting>
  <conditionalFormatting sqref="M15:FK18 M21:FK23 M577:FK579 M636:FK636">
    <cfRule type="cellIs" dxfId="230" priority="10" operator="greaterThan">
      <formula>0</formula>
    </cfRule>
  </conditionalFormatting>
  <conditionalFormatting sqref="M26:FK27">
    <cfRule type="cellIs" dxfId="229" priority="9" operator="greaterThan">
      <formula>0</formula>
    </cfRule>
  </conditionalFormatting>
  <conditionalFormatting sqref="M42:FK42">
    <cfRule type="cellIs" dxfId="228" priority="8" operator="greaterThan">
      <formula>0</formula>
    </cfRule>
  </conditionalFormatting>
  <conditionalFormatting sqref="M198:FK198">
    <cfRule type="cellIs" dxfId="227" priority="7" operator="greaterThan">
      <formula>0</formula>
    </cfRule>
  </conditionalFormatting>
  <conditionalFormatting sqref="M362:FK362">
    <cfRule type="cellIs" dxfId="226" priority="6" operator="greaterThan">
      <formula>0</formula>
    </cfRule>
  </conditionalFormatting>
  <conditionalFormatting sqref="M447:FK447">
    <cfRule type="cellIs" dxfId="225" priority="5" operator="greaterThan">
      <formula>0</formula>
    </cfRule>
  </conditionalFormatting>
  <conditionalFormatting sqref="M582:FK583">
    <cfRule type="cellIs" dxfId="22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abSelected="1" topLeftCell="A41" zoomScale="70" zoomScaleNormal="70" workbookViewId="0">
      <selection activeCell="V35" sqref="V35"/>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9" t="s">
        <v>2069</v>
      </c>
      <c r="C8" s="400"/>
      <c r="D8" s="400"/>
      <c r="E8" s="400"/>
      <c r="F8" s="400"/>
      <c r="G8" s="400"/>
      <c r="H8" s="400"/>
      <c r="I8" s="400"/>
      <c r="J8" s="400"/>
      <c r="K8" s="400"/>
      <c r="L8" s="400"/>
      <c r="M8" s="400"/>
      <c r="N8" s="400"/>
      <c r="O8" s="400"/>
      <c r="P8" s="400"/>
      <c r="Q8" s="400"/>
      <c r="R8" s="400"/>
      <c r="S8" s="400"/>
      <c r="T8" s="400"/>
      <c r="U8" s="400"/>
      <c r="V8" s="400"/>
      <c r="W8" s="400"/>
      <c r="X8" s="400"/>
      <c r="Y8" s="400"/>
      <c r="Z8" s="400"/>
      <c r="AA8" s="400"/>
      <c r="AB8" s="400"/>
      <c r="AC8" s="400"/>
      <c r="AD8" s="400"/>
      <c r="AE8" s="400"/>
      <c r="AF8" s="400"/>
      <c r="AG8" s="401"/>
      <c r="AH8" s="117"/>
    </row>
    <row r="9" spans="1:34" ht="17.7" customHeight="1">
      <c r="A9" s="117"/>
      <c r="B9" s="402"/>
      <c r="C9" s="403"/>
      <c r="D9" s="403"/>
      <c r="E9" s="403"/>
      <c r="F9" s="403"/>
      <c r="G9" s="403"/>
      <c r="H9" s="403"/>
      <c r="I9" s="403"/>
      <c r="J9" s="403"/>
      <c r="K9" s="403"/>
      <c r="L9" s="403"/>
      <c r="M9" s="403"/>
      <c r="N9" s="403"/>
      <c r="O9" s="403"/>
      <c r="P9" s="403"/>
      <c r="Q9" s="403"/>
      <c r="R9" s="403"/>
      <c r="S9" s="403"/>
      <c r="T9" s="403"/>
      <c r="U9" s="403"/>
      <c r="V9" s="403"/>
      <c r="W9" s="403"/>
      <c r="X9" s="403"/>
      <c r="Y9" s="403"/>
      <c r="Z9" s="403"/>
      <c r="AA9" s="403"/>
      <c r="AB9" s="403"/>
      <c r="AC9" s="403"/>
      <c r="AD9" s="403"/>
      <c r="AE9" s="403"/>
      <c r="AF9" s="403"/>
      <c r="AG9" s="404"/>
      <c r="AH9" s="117"/>
    </row>
    <row r="10" spans="1:34" ht="17.7" customHeight="1">
      <c r="A10" s="117"/>
      <c r="B10" s="402"/>
      <c r="C10" s="403"/>
      <c r="D10" s="403"/>
      <c r="E10" s="403"/>
      <c r="F10" s="403"/>
      <c r="G10" s="403"/>
      <c r="H10" s="403"/>
      <c r="I10" s="403"/>
      <c r="J10" s="403"/>
      <c r="K10" s="403"/>
      <c r="L10" s="403"/>
      <c r="M10" s="403"/>
      <c r="N10" s="403"/>
      <c r="O10" s="403"/>
      <c r="P10" s="403"/>
      <c r="Q10" s="403"/>
      <c r="R10" s="403"/>
      <c r="S10" s="403"/>
      <c r="T10" s="403"/>
      <c r="U10" s="403"/>
      <c r="V10" s="403"/>
      <c r="W10" s="403"/>
      <c r="X10" s="403"/>
      <c r="Y10" s="403"/>
      <c r="Z10" s="403"/>
      <c r="AA10" s="403"/>
      <c r="AB10" s="403"/>
      <c r="AC10" s="403"/>
      <c r="AD10" s="403"/>
      <c r="AE10" s="403"/>
      <c r="AF10" s="403"/>
      <c r="AG10" s="404"/>
      <c r="AH10" s="117"/>
    </row>
    <row r="11" spans="1:34" ht="17.7" customHeight="1">
      <c r="A11" s="117"/>
      <c r="B11" s="405"/>
      <c r="C11" s="406"/>
      <c r="D11" s="406"/>
      <c r="E11" s="406"/>
      <c r="F11" s="406"/>
      <c r="G11" s="406"/>
      <c r="H11" s="406"/>
      <c r="I11" s="406"/>
      <c r="J11" s="406"/>
      <c r="K11" s="406"/>
      <c r="L11" s="406"/>
      <c r="M11" s="406"/>
      <c r="N11" s="406"/>
      <c r="O11" s="406"/>
      <c r="P11" s="406"/>
      <c r="Q11" s="406"/>
      <c r="R11" s="406"/>
      <c r="S11" s="406"/>
      <c r="T11" s="406"/>
      <c r="U11" s="406"/>
      <c r="V11" s="406"/>
      <c r="W11" s="406"/>
      <c r="X11" s="406"/>
      <c r="Y11" s="406"/>
      <c r="Z11" s="406"/>
      <c r="AA11" s="406"/>
      <c r="AB11" s="406"/>
      <c r="AC11" s="406"/>
      <c r="AD11" s="406"/>
      <c r="AE11" s="406"/>
      <c r="AF11" s="406"/>
      <c r="AG11" s="407"/>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2022</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Resumo'!$P86,'2. Status Detalhe Campos'!$C$7:$C$574,'1. Status Resumo'!$G$82,'2. Status Detalhe Campos'!$D$7:$D$574,"2. Campo")+COUNTIFS('2. Status Detalhe Campos'!$H$7:$H$574,'1. Status Resumo'!$P86,'2. Status Detalhe Campos'!$C$7:$C$574,'1. Status Resumo'!$H$82,'2. Status Detalhe Campos'!$D$7:$D$574,"2. Campo")+COUNTIFS('2. Status Detalhe Campos'!$H$7:$H$574,'1. Status Resumo'!$P110,'2. Status Detalhe Campos'!$C$7:$C$574,'1. Status Resumo'!$G$106,'2. Status Detalhe Campos'!$D$7:$D$574,"2. Campo")+COUNTIFS('2. Status Detalhe Campos'!$H$7:$H$574,'1. Status Resumo'!$P110,'2. Status Detalhe Campos'!$C$7:$C$574,'1. Status Resumo'!$H$106,'2. Status Detalhe Campos'!$D$7:$D$574,"2. Campo")+COUNTIFS(Table4[Status Anterior],'1. Status Resumo'!$P145,Table4[Sub-âmbito],'1. Status Resumo'!$G$141,Table4[Tipo de teste],"2. Campo")</f>
        <v>24</v>
      </c>
      <c r="U17" s="26">
        <f>COUNTIFS('2. Status Detalhe Campos'!$G$7:$G$574,'1. Status Resumo'!$P86,'2. Status Detalhe Campos'!$C$7:$C$574,'1. Status Resumo'!$G$82,'2. Status Detalhe Campos'!$D$7:$D$574,"2. Campo")+COUNTIFS('2. Status Detalhe Campos'!$G$7:$G$574,'1. Status Resumo'!$P86,'2. Status Detalhe Campos'!$C$7:$C$574,'1. Status Resumo'!$H$82,'2. Status Detalhe Campos'!$D$7:$D$574,"2. Campo")+COUNTIFS('2. Status Detalhe Campos'!$G$7:$G$574,'1. Status Resumo'!$P110,'2. Status Detalhe Campos'!$C$7:$C$574,'1. Status Resumo'!$G$106,'2. Status Detalhe Campos'!$D$7:$D$574,"2. Campo")+COUNTIFS('2. Status Detalhe Campos'!$G$7:$G$574,'1. Status Resumo'!$P110,'2. Status Detalhe Campos'!$C$7:$C$574,'1. Status Resumo'!$H$106,'2. Status Detalhe Campos'!$D$7:$D$574,"2. Campo")+COUNTIFS(Table4[Status Atual],'1. Status Resumo'!$P145,Table4[Sub-âmbito],'1. Status Resumo'!$G$141,Table4[Tipo de teste],"2. Campo")</f>
        <v>24</v>
      </c>
      <c r="V17" s="26">
        <f>U17-T17</f>
        <v>0</v>
      </c>
      <c r="W17" s="339"/>
      <c r="X17" s="428"/>
      <c r="Y17" s="429"/>
      <c r="Z17" s="429"/>
      <c r="AA17" s="429"/>
      <c r="AB17" s="429"/>
      <c r="AC17" s="429"/>
      <c r="AD17" s="429"/>
      <c r="AE17" s="429"/>
      <c r="AF17" s="430"/>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Resumo'!$P87,'2. Status Detalhe Campos'!$C$7:$C$574,'1. Status Resumo'!$G$82,'2. Status Detalhe Campos'!$D$7:$D$574,"2. Campo")+COUNTIFS('2. Status Detalhe Campos'!$H$7:$H$574,'1. Status Resumo'!$P87,'2. Status Detalhe Campos'!$C$7:$C$574,'1. Status Resumo'!$H$82,'2. Status Detalhe Campos'!$D$7:$D$574,"2. Campo")+COUNTIFS('2. Status Detalhe Campos'!$H$7:$H$574,'1. Status Resumo'!$P111,'2. Status Detalhe Campos'!$C$7:$C$574,'1. Status Resumo'!$G$106,'2. Status Detalhe Campos'!$D$7:$D$574,"2. Campo")+COUNTIFS('2. Status Detalhe Campos'!$H$7:$H$574,'1. Status Resumo'!$P111,'2. Status Detalhe Campos'!$C$7:$C$574,'1. Status Resumo'!$H$106,'2. Status Detalhe Campos'!$D$7:$D$574,"2. Campo")+COUNTIFS(Table4[Status Anterior],'1. Status Resumo'!$P146,Table4[Sub-âmbito],'1. Status Resumo'!$G$141,Table4[Tipo de teste],"2. Campo")</f>
        <v>473</v>
      </c>
      <c r="U18" s="26">
        <f>COUNTIFS('2. Status Detalhe Campos'!$G$7:$G$574,'1. Status Resumo'!$P87,'2. Status Detalhe Campos'!$C$7:$C$574,'1. Status Resumo'!$G$82,'2. Status Detalhe Campos'!$D$7:$D$574,"2. Campo")+COUNTIFS('2. Status Detalhe Campos'!$G$7:$G$574,'1. Status Resumo'!$P87,'2. Status Detalhe Campos'!$C$7:$C$574,'1. Status Resumo'!$H$82,'2. Status Detalhe Campos'!$D$7:$D$574,"2. Campo")+COUNTIFS('2. Status Detalhe Campos'!$G$7:$G$574,'1. Status Resumo'!$P111,'2. Status Detalhe Campos'!$C$7:$C$574,'1. Status Resumo'!$G$106,'2. Status Detalhe Campos'!$D$7:$D$574,"2. Campo")+COUNTIFS('2. Status Detalhe Campos'!$G$7:$G$574,'1. Status Resumo'!$P111,'2. Status Detalhe Campos'!$C$7:$C$574,'1. Status Resumo'!$H$106,'2. Status Detalhe Campos'!$D$7:$D$574,"2. Campo")+COUNTIFS(Table4[Status Atual],'1. Status Resumo'!$P146,Table4[Sub-âmbito],'1. Status Resumo'!$G$141,Table4[Tipo de teste],"2. Campo")</f>
        <v>470</v>
      </c>
      <c r="V18" s="26">
        <f t="shared" ref="V18:V25" si="0">U18-T18</f>
        <v>-3</v>
      </c>
      <c r="W18" s="339"/>
      <c r="X18" s="431"/>
      <c r="Y18" s="432"/>
      <c r="Z18" s="432"/>
      <c r="AA18" s="432"/>
      <c r="AB18" s="432"/>
      <c r="AC18" s="432"/>
      <c r="AD18" s="432"/>
      <c r="AE18" s="432"/>
      <c r="AF18" s="433"/>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Campos'!$H$7:$H$574,'1. Status Resumo'!$P88,'2. Status Detalhe Campos'!$C$7:$C$574,'1. Status Resumo'!$G$82,'2. Status Detalhe Campos'!$D$7:$D$574,"2. Campo")+COUNTIFS('2. Status Detalhe Campos'!$H$7:$H$574,'1. Status Resumo'!$P88,'2. Status Detalhe Campos'!$C$7:$C$574,'1. Status Resumo'!$H$82,'2. Status Detalhe Campos'!$D$7:$D$574,"2. Campo")+COUNTIFS('2. Status Detalhe Campos'!$H$7:$H$574,'1. Status Resumo'!$P112,'2. Status Detalhe Campos'!$C$7:$C$574,'1. Status Resumo'!$G$106,'2. Status Detalhe Campos'!$D$7:$D$574,"2. Campo")+COUNTIFS('2. Status Detalhe Campos'!$H$7:$H$574,'1. Status Resumo'!$P112,'2. Status Detalhe Campos'!$C$7:$C$574,'1. Status Resumo'!$H$106,'2. Status Detalhe Campos'!$D$7:$D$574,"2. Campo")+COUNTIFS(Table4[Status Anterior],'1. Status Resumo'!$P147,Table4[Sub-âmbito],'1. Status Resumo'!$G$141,Table4[Tipo de teste],"2. Campo")</f>
        <v>26</v>
      </c>
      <c r="U19" s="26">
        <f>COUNTIFS('2. Status Detalhe Campos'!$G$7:$G$574,'1. Status Resumo'!$P88,'2. Status Detalhe Campos'!$C$7:$C$574,'1. Status Resumo'!$G$82,'2. Status Detalhe Campos'!$D$7:$D$574,"2. Campo")+COUNTIFS('2. Status Detalhe Campos'!$G$7:$G$574,'1. Status Resumo'!$P88,'2. Status Detalhe Campos'!$C$7:$C$574,'1. Status Resumo'!$H$82,'2. Status Detalhe Campos'!$D$7:$D$574,"2. Campo")+COUNTIFS('2. Status Detalhe Campos'!$G$7:$G$574,'1. Status Resumo'!$P112,'2. Status Detalhe Campos'!$C$7:$C$574,'1. Status Resumo'!$G$106,'2. Status Detalhe Campos'!$D$7:$D$574,"2. Campo")+COUNTIFS('2. Status Detalhe Campos'!$G$7:$G$574,'1. Status Resumo'!$P112,'2. Status Detalhe Campos'!$C$7:$C$574,'1. Status Resumo'!$H$106,'2. Status Detalhe Campos'!$D$7:$D$574,"2. Campo")+COUNTIFS(Table4[Status Atual],'1. Status Resumo'!$P147,Table4[Sub-âmbito],'1. Status Resumo'!$G$141,Table4[Tipo de teste],"2. Campo")</f>
        <v>6</v>
      </c>
      <c r="V19" s="26">
        <f t="shared" si="0"/>
        <v>-20</v>
      </c>
      <c r="W19" s="339"/>
      <c r="X19" s="431"/>
      <c r="Y19" s="432"/>
      <c r="Z19" s="432"/>
      <c r="AA19" s="432"/>
      <c r="AB19" s="432"/>
      <c r="AC19" s="432"/>
      <c r="AD19" s="432"/>
      <c r="AE19" s="432"/>
      <c r="AF19" s="433"/>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Campos'!$H$7:$H$574,'1. Status Resumo'!$P89,'2. Status Detalhe Campos'!$C$7:$C$574,'1. Status Resumo'!$G$82,'2. Status Detalhe Campos'!$D$7:$D$574,"2. Campo")+COUNTIFS('2. Status Detalhe Campos'!$H$7:$H$574,'1. Status Resumo'!$P89,'2. Status Detalhe Campos'!$C$7:$C$574,'1. Status Resumo'!$H$82,'2. Status Detalhe Campos'!$D$7:$D$574,"2. Campo")+COUNTIFS('2. Status Detalhe Campos'!$H$7:$H$574,'1. Status Resumo'!$P113,'2. Status Detalhe Campos'!$C$7:$C$574,'1. Status Resumo'!$G$106,'2. Status Detalhe Campos'!$D$7:$D$574,"2. Campo")+COUNTIFS('2. Status Detalhe Campos'!$H$7:$H$574,'1. Status Resumo'!$P113,'2. Status Detalhe Campos'!$C$7:$C$574,'1. Status Resumo'!$H$106,'2. Status Detalhe Campos'!$D$7:$D$574,"2. Campo")+COUNTIFS(Table4[Status Anterior],'1. Status Resumo'!$P148,Table4[Sub-âmbito],'1. Status Resumo'!$G$141,Table4[Tipo de teste],"2. Campo")</f>
        <v>0</v>
      </c>
      <c r="U20" s="26">
        <f>COUNTIFS('2. Status Detalhe Campos'!$G$7:$G$574,'1. Status Resumo'!$P89,'2. Status Detalhe Campos'!$C$7:$C$574,'1. Status Resumo'!$G$82,'2. Status Detalhe Campos'!$D$7:$D$574,"2. Campo")+COUNTIFS('2. Status Detalhe Campos'!$G$7:$G$574,'1. Status Resumo'!$P89,'2. Status Detalhe Campos'!$C$7:$C$574,'1. Status Resumo'!$H$82,'2. Status Detalhe Campos'!$D$7:$D$574,"2. Campo")+COUNTIFS('2. Status Detalhe Campos'!$G$7:$G$574,'1. Status Resumo'!$P113,'2. Status Detalhe Campos'!$C$7:$C$574,'1. Status Resumo'!$G$106,'2. Status Detalhe Campos'!$D$7:$D$574,"2. Campo")+COUNTIFS('2. Status Detalhe Campos'!$G$7:$G$574,'1. Status Resumo'!$P113,'2. Status Detalhe Campos'!$C$7:$C$574,'1. Status Resumo'!$H$106,'2. Status Detalhe Campos'!$D$7:$D$574,"2. Campo")+COUNTIFS(Table4[Status Atual],'1. Status Resumo'!$P148,Table4[Sub-âmbito],'1. Status Resumo'!$G$141,Table4[Tipo de teste],"2. Campo")</f>
        <v>17</v>
      </c>
      <c r="V20" s="26">
        <f t="shared" si="0"/>
        <v>17</v>
      </c>
      <c r="W20" s="339"/>
      <c r="X20" s="431"/>
      <c r="Y20" s="432"/>
      <c r="Z20" s="432"/>
      <c r="AA20" s="432"/>
      <c r="AB20" s="432"/>
      <c r="AC20" s="432"/>
      <c r="AD20" s="432"/>
      <c r="AE20" s="432"/>
      <c r="AF20" s="433"/>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Resumo'!$P90,'2. Status Detalhe Campos'!$C$7:$C$574,'1. Status Resumo'!$G$82,'2. Status Detalhe Campos'!$D$7:$D$574,"2. Campo")+COUNTIFS('2. Status Detalhe Campos'!$H$7:$H$574,'1. Status Resumo'!$P90,'2. Status Detalhe Campos'!$C$7:$C$574,'1. Status Resumo'!$H$82,'2. Status Detalhe Campos'!$D$7:$D$574,"2. Campo")+COUNTIFS('2. Status Detalhe Campos'!$H$7:$H$574,'1. Status Resumo'!$P114,'2. Status Detalhe Campos'!$C$7:$C$574,'1. Status Resumo'!$G$106,'2. Status Detalhe Campos'!$D$7:$D$574,"2. Campo")+COUNTIFS('2. Status Detalhe Campos'!$H$7:$H$574,'1. Status Resumo'!$P114,'2. Status Detalhe Campos'!$C$7:$C$574,'1. Status Resumo'!$H$106,'2. Status Detalhe Campos'!$D$7:$D$574,"2. Campo")+COUNTIFS(Table4[Status Anterior],'1. Status Resumo'!$P149,Table4[Sub-âmbito],'1. Status Resumo'!$G$141,Table4[Tipo de teste],"2. Campo")</f>
        <v>0</v>
      </c>
      <c r="U21" s="26">
        <f>COUNTIFS('2. Status Detalhe Campos'!$G$7:$G$574,'1. Status Resumo'!$P90,'2. Status Detalhe Campos'!$C$7:$C$574,'1. Status Resumo'!$G$82,'2. Status Detalhe Campos'!$D$7:$D$574,"2. Campo")+COUNTIFS('2. Status Detalhe Campos'!$G$7:$G$574,'1. Status Resumo'!$P90,'2. Status Detalhe Campos'!$C$7:$C$574,'1. Status Resumo'!$H$82,'2. Status Detalhe Campos'!$D$7:$D$574,"2. Campo")+COUNTIFS('2. Status Detalhe Campos'!$G$7:$G$574,'1. Status Resumo'!$P114,'2. Status Detalhe Campos'!$C$7:$C$574,'1. Status Resumo'!$G$106,'2. Status Detalhe Campos'!$D$7:$D$574,"2. Campo")+COUNTIFS('2. Status Detalhe Campos'!$G$7:$G$574,'1. Status Resumo'!$P114,'2. Status Detalhe Campos'!$C$7:$C$574,'1. Status Resumo'!$H$106,'2. Status Detalhe Campos'!$D$7:$D$574,"2. Campo")+COUNTIFS(Table4[Status Atual],'1. Status Resumo'!$P149,Table4[Sub-âmbito],'1. Status Resumo'!$G$141,Table4[Tipo de teste],"2. Campo")</f>
        <v>10</v>
      </c>
      <c r="V21" s="26">
        <f t="shared" si="0"/>
        <v>10</v>
      </c>
      <c r="W21" s="339"/>
      <c r="X21" s="431"/>
      <c r="Y21" s="432"/>
      <c r="Z21" s="432"/>
      <c r="AA21" s="432"/>
      <c r="AB21" s="432"/>
      <c r="AC21" s="432"/>
      <c r="AD21" s="432"/>
      <c r="AE21" s="432"/>
      <c r="AF21" s="433"/>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Resumo'!$P91,'2. Status Detalhe Campos'!$C$7:$C$574,'1. Status Resumo'!$G$82,'2. Status Detalhe Campos'!$D$7:$D$574,"2. Campo")+COUNTIFS('2. Status Detalhe Campos'!$H$7:$H$574,'1. Status Resumo'!$P91,'2. Status Detalhe Campos'!$C$7:$C$574,'1. Status Resumo'!$H$82,'2. Status Detalhe Campos'!$D$7:$D$574,"2. Campo")+COUNTIFS('2. Status Detalhe Campos'!$H$7:$H$574,'1. Status Resumo'!$P115,'2. Status Detalhe Campos'!$C$7:$C$574,'1. Status Resumo'!$G$106,'2. Status Detalhe Campos'!$D$7:$D$574,"2. Campo")+COUNTIFS('2. Status Detalhe Campos'!$H$7:$H$574,'1. Status Resumo'!$P115,'2. Status Detalhe Campos'!$C$7:$C$574,'1. Status Resumo'!$H$106,'2. Status Detalhe Campos'!$D$7:$D$574,"2. Campo")+COUNTIFS(Table4[Status Anterior],'1. Status Resumo'!$P150,Table4[Sub-âmbito],'1. Status Resumo'!$G$141,Table4[Tipo de teste],"2. Campo")</f>
        <v>3</v>
      </c>
      <c r="U22" s="26">
        <f>COUNTIFS('2. Status Detalhe Campos'!$G$7:$G$574,'1. Status Resumo'!$P91,'2. Status Detalhe Campos'!$C$7:$C$574,'1. Status Resumo'!$G$82,'2. Status Detalhe Campos'!$D$7:$D$574,"2. Campo")+COUNTIFS('2. Status Detalhe Campos'!$G$7:$G$574,'1. Status Resumo'!$P91,'2. Status Detalhe Campos'!$C$7:$C$574,'1. Status Resumo'!$H$82,'2. Status Detalhe Campos'!$D$7:$D$574,"2. Campo")+COUNTIFS('2. Status Detalhe Campos'!$G$7:$G$574,'1. Status Resumo'!$P115,'2. Status Detalhe Campos'!$C$7:$C$574,'1. Status Resumo'!$G$106,'2. Status Detalhe Campos'!$D$7:$D$574,"2. Campo")+COUNTIFS('2. Status Detalhe Campos'!$G$7:$G$574,'1. Status Resumo'!$P115,'2. Status Detalhe Campos'!$C$7:$C$574,'1. Status Resumo'!$H$106,'2. Status Detalhe Campos'!$D$7:$D$574,"2. Campo")+COUNTIFS(Table4[Status Atual],'1. Status Resumo'!$P150,Table4[Sub-âmbito],'1. Status Resumo'!$G$141,Table4[Tipo de teste],"2. Campo")</f>
        <v>15</v>
      </c>
      <c r="V22" s="26">
        <f t="shared" si="0"/>
        <v>12</v>
      </c>
      <c r="W22" s="339"/>
      <c r="X22" s="431"/>
      <c r="Y22" s="432"/>
      <c r="Z22" s="432"/>
      <c r="AA22" s="432"/>
      <c r="AB22" s="432"/>
      <c r="AC22" s="432"/>
      <c r="AD22" s="432"/>
      <c r="AE22" s="432"/>
      <c r="AF22" s="433"/>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Resumo'!$P92,'2. Status Detalhe Campos'!$C$7:$C$574,'1. Status Resumo'!$G$82,'2. Status Detalhe Campos'!$D$7:$D$574,"2. Campo")+COUNTIFS('2. Status Detalhe Campos'!$H$7:$H$574,'1. Status Resumo'!$P92,'2. Status Detalhe Campos'!$C$7:$C$574,'1. Status Resumo'!$H$82,'2. Status Detalhe Campos'!$D$7:$D$574,"2. Campo")+COUNTIFS('2. Status Detalhe Campos'!$H$7:$H$574,'1. Status Resumo'!$P116,'2. Status Detalhe Campos'!$C$7:$C$574,'1. Status Resumo'!$G$106,'2. Status Detalhe Campos'!$D$7:$D$574,"2. Campo")+COUNTIFS('2. Status Detalhe Campos'!$H$7:$H$574,'1. Status Resumo'!$P116,'2. Status Detalhe Campos'!$C$7:$C$574,'1. Status Resumo'!$H$106,'2. Status Detalhe Campos'!$D$7:$D$574,"2. Campo")+COUNTIFS(Table4[Status Anterior],'1. Status Resumo'!$P151,Table4[Sub-âmbito],'1. Status Resumo'!$G$141,Table4[Tipo de teste],"2. Campo")</f>
        <v>6</v>
      </c>
      <c r="U23" s="26">
        <f>COUNTIFS('2. Status Detalhe Campos'!$G$7:$G$574,'1. Status Resumo'!$P92,'2. Status Detalhe Campos'!$C$7:$C$574,'1. Status Resumo'!$G$82,'2. Status Detalhe Campos'!$D$7:$D$574,"2. Campo")+COUNTIFS('2. Status Detalhe Campos'!$G$7:$G$574,'1. Status Resumo'!$P92,'2. Status Detalhe Campos'!$C$7:$C$574,'1. Status Resumo'!$H$82,'2. Status Detalhe Campos'!$D$7:$D$574,"2. Campo")+COUNTIFS('2. Status Detalhe Campos'!$G$7:$G$574,'1. Status Resumo'!$P116,'2. Status Detalhe Campos'!$C$7:$C$574,'1. Status Resumo'!$G$106,'2. Status Detalhe Campos'!$D$7:$D$574,"2. Campo")+COUNTIFS('2. Status Detalhe Campos'!$G$7:$G$574,'1. Status Resumo'!$P116,'2. Status Detalhe Campos'!$C$7:$C$574,'1. Status Resumo'!$H$106,'2. Status Detalhe Campos'!$D$7:$D$574,"2. Campo")+COUNTIFS(Table4[Status Atual],'1. Status Resumo'!$P151,Table4[Sub-âmbito],'1. Status Resumo'!$G$141,Table4[Tipo de teste],"2. Campo")</f>
        <v>1</v>
      </c>
      <c r="V23" s="26">
        <f t="shared" si="0"/>
        <v>-5</v>
      </c>
      <c r="W23" s="339"/>
      <c r="X23" s="431"/>
      <c r="Y23" s="432"/>
      <c r="Z23" s="432"/>
      <c r="AA23" s="432"/>
      <c r="AB23" s="432"/>
      <c r="AC23" s="432"/>
      <c r="AD23" s="432"/>
      <c r="AE23" s="432"/>
      <c r="AF23" s="433"/>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Resumo'!$P93,'2. Status Detalhe Campos'!$C$7:$C$574,'1. Status Resumo'!$G$82,'2. Status Detalhe Campos'!$D$7:$D$574,"2. Campo")+COUNTIFS('2. Status Detalhe Campos'!$H$7:$H$574,'1. Status Resumo'!$P93,'2. Status Detalhe Campos'!$C$7:$C$574,'1. Status Resumo'!$H$82,'2. Status Detalhe Campos'!$D$7:$D$574,"2. Campo")+COUNTIFS('2. Status Detalhe Campos'!$H$7:$H$574,'1. Status Resumo'!$P117,'2. Status Detalhe Campos'!$C$7:$C$574,'1. Status Resumo'!$G$106,'2. Status Detalhe Campos'!$D$7:$D$574,"2. Campo")+COUNTIFS('2. Status Detalhe Campos'!$H$7:$H$574,'1. Status Resumo'!$P117,'2. Status Detalhe Campos'!$C$7:$C$574,'1. Status Resumo'!$H$106,'2. Status Detalhe Campos'!$D$7:$D$574,"2. Campo")+COUNTIFS(Table4[Status Anterior],'1. Status Resumo'!$P152,Table4[Sub-âmbito],'1. Status Resumo'!$G$141,Table4[Tipo de teste],"2. Campo")</f>
        <v>17</v>
      </c>
      <c r="U24" s="26">
        <f>COUNTIFS('2. Status Detalhe Campos'!$G$7:$G$574,'1. Status Resumo'!$P93,'2. Status Detalhe Campos'!$C$7:$C$574,'1. Status Resumo'!$G$82,'2. Status Detalhe Campos'!$D$7:$D$574,"2. Campo")+COUNTIFS('2. Status Detalhe Campos'!$G$7:$G$574,'1. Status Resumo'!$P93,'2. Status Detalhe Campos'!$C$7:$C$574,'1. Status Resumo'!$H$82,'2. Status Detalhe Campos'!$D$7:$D$574,"2. Campo")+COUNTIFS('2. Status Detalhe Campos'!$G$7:$G$574,'1. Status Resumo'!$P117,'2. Status Detalhe Campos'!$C$7:$C$574,'1. Status Resumo'!$G$106,'2. Status Detalhe Campos'!$D$7:$D$574,"2. Campo")+COUNTIFS('2. Status Detalhe Campos'!$G$7:$G$574,'1. Status Resumo'!$P117,'2. Status Detalhe Campos'!$C$7:$C$574,'1. Status Resumo'!$H$106,'2. Status Detalhe Campos'!$D$7:$D$574,"2. Campo")+COUNTIFS(Table4[Status Atual],'1. Status Resumo'!$P152,Table4[Sub-âmbito],'1. Status Resumo'!$G$141,Table4[Tipo de teste],"2. Campo")</f>
        <v>6</v>
      </c>
      <c r="V24" s="26">
        <f t="shared" si="0"/>
        <v>-11</v>
      </c>
      <c r="W24" s="339"/>
      <c r="X24" s="431"/>
      <c r="Y24" s="432"/>
      <c r="Z24" s="432"/>
      <c r="AA24" s="432"/>
      <c r="AB24" s="432"/>
      <c r="AC24" s="432"/>
      <c r="AD24" s="432"/>
      <c r="AE24" s="432"/>
      <c r="AF24" s="433"/>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Resumo'!$P94,'2. Status Detalhe Campos'!$C$7:$C$574,'1. Status Resumo'!$G$82,'2. Status Detalhe Campos'!$D$7:$D$574,"2. Campo")+COUNTIFS('2. Status Detalhe Campos'!$H$7:$H$574,'1. Status Resumo'!$P94,'2. Status Detalhe Campos'!$C$7:$C$574,'1. Status Resumo'!$H$82,'2. Status Detalhe Campos'!$D$7:$D$574,"2. Campo")+COUNTIFS('2. Status Detalhe Campos'!$H$7:$H$574,'1. Status Resumo'!$P118,'2. Status Detalhe Campos'!$C$7:$C$574,'1. Status Resumo'!$G$106,'2. Status Detalhe Campos'!$D$7:$D$574,"2. Campo")+COUNTIFS('2. Status Detalhe Campos'!$H$7:$H$574,'1. Status Resumo'!$P118,'2. Status Detalhe Campos'!$C$7:$C$574,'1. Status Resumo'!$H$106,'2. Status Detalhe Campos'!$D$7:$D$574,"2. Campo")+COUNTIFS(Table4[Status Anterior],'1. Status Resumo'!$P153,Table4[Sub-âmbito],'1. Status Resumo'!$G$141,Table4[Tipo de teste],"2. Campo")</f>
        <v>0</v>
      </c>
      <c r="U25" s="26">
        <f>COUNTIFS('2. Status Detalhe Campos'!$G$7:$G$574,'1. Status Resumo'!$P94,'2. Status Detalhe Campos'!$C$7:$C$574,'1. Status Resumo'!$G$82,'2. Status Detalhe Campos'!$D$7:$D$574,"2. Campo")+COUNTIFS('2. Status Detalhe Campos'!$G$7:$G$574,'1. Status Resumo'!$P94,'2. Status Detalhe Campos'!$C$7:$C$574,'1. Status Resumo'!$H$82,'2. Status Detalhe Campos'!$D$7:$D$574,"2. Campo")+COUNTIFS('2. Status Detalhe Campos'!$G$7:$G$574,'1. Status Resumo'!$P118,'2. Status Detalhe Campos'!$C$7:$C$574,'1. Status Resumo'!$G$106,'2. Status Detalhe Campos'!$D$7:$D$574,"2. Campo")+COUNTIFS('2. Status Detalhe Campos'!$G$7:$G$574,'1. Status Resumo'!$P118,'2. Status Detalhe Campos'!$C$7:$C$574,'1. Status Resumo'!$H$106,'2. Status Detalhe Campos'!$D$7:$D$574,"2. Campo")+COUNTIFS(Table4[Status Atual],'1. Status Resumo'!$P153,Table4[Sub-âmbito],'1. Status Resumo'!$G$141,Table4[Tipo de teste],"2. Campo")</f>
        <v>0</v>
      </c>
      <c r="V25" s="26">
        <f t="shared" si="0"/>
        <v>0</v>
      </c>
      <c r="W25" s="339"/>
      <c r="X25" s="431"/>
      <c r="Y25" s="432"/>
      <c r="Z25" s="432"/>
      <c r="AA25" s="432"/>
      <c r="AB25" s="432"/>
      <c r="AC25" s="432"/>
      <c r="AD25" s="432"/>
      <c r="AE25" s="432"/>
      <c r="AF25" s="433"/>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34"/>
      <c r="Y26" s="435"/>
      <c r="Z26" s="435"/>
      <c r="AA26" s="435"/>
      <c r="AB26" s="435"/>
      <c r="AC26" s="435"/>
      <c r="AD26" s="435"/>
      <c r="AE26" s="435"/>
      <c r="AF26" s="436"/>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2029</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44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3"/>
      <c r="AG34" s="353"/>
      <c r="AH34" s="446"/>
    </row>
    <row r="35" spans="1:34" s="348" customFormat="1" ht="17.399999999999999" customHeight="1">
      <c r="A35" s="117"/>
      <c r="B35" s="352"/>
      <c r="C35" s="358"/>
      <c r="D35" s="359" t="s">
        <v>2037</v>
      </c>
      <c r="E35" s="359" t="s">
        <v>2038</v>
      </c>
      <c r="F35" s="359" t="s">
        <v>2039</v>
      </c>
      <c r="G35" s="360" t="s">
        <v>2030</v>
      </c>
      <c r="H35" s="371">
        <v>45660</v>
      </c>
      <c r="I35" s="371">
        <v>45667</v>
      </c>
      <c r="J35" s="382">
        <v>45667</v>
      </c>
      <c r="K35" s="371">
        <v>45674</v>
      </c>
      <c r="L35" s="382">
        <v>45674</v>
      </c>
      <c r="M35" s="371">
        <v>45678</v>
      </c>
      <c r="N35" s="370" t="s">
        <v>2034</v>
      </c>
      <c r="O35" s="353"/>
      <c r="P35" s="353"/>
      <c r="Q35" s="353"/>
      <c r="R35" s="353"/>
      <c r="S35" s="386"/>
      <c r="T35" s="386"/>
      <c r="U35" s="451"/>
      <c r="V35" s="449"/>
      <c r="W35" s="449"/>
      <c r="X35" s="437" t="s">
        <v>2083</v>
      </c>
      <c r="Y35" s="438"/>
      <c r="Z35" s="438"/>
      <c r="AA35" s="438"/>
      <c r="AB35" s="438"/>
      <c r="AC35" s="438"/>
      <c r="AD35" s="438"/>
      <c r="AE35" s="438"/>
      <c r="AF35" s="439"/>
      <c r="AG35" s="448"/>
      <c r="AH35" s="446"/>
    </row>
    <row r="36" spans="1:34" s="348" customFormat="1">
      <c r="A36" s="117"/>
      <c r="B36" s="352"/>
      <c r="C36" s="359" t="s">
        <v>2032</v>
      </c>
      <c r="D36" s="361">
        <f>T95</f>
        <v>169</v>
      </c>
      <c r="E36" s="361">
        <f>T87</f>
        <v>146</v>
      </c>
      <c r="F36" s="361">
        <f>T86</f>
        <v>10</v>
      </c>
      <c r="G36" s="362">
        <f>D36-E36-F36</f>
        <v>13</v>
      </c>
      <c r="H36" s="361">
        <v>0</v>
      </c>
      <c r="I36" s="361">
        <v>13</v>
      </c>
      <c r="J36" s="361">
        <v>1</v>
      </c>
      <c r="K36" s="361">
        <v>0</v>
      </c>
      <c r="L36" s="361">
        <v>0</v>
      </c>
      <c r="M36" s="361">
        <v>0</v>
      </c>
      <c r="N36" s="453">
        <f>SUM(K36:M36)</f>
        <v>0</v>
      </c>
      <c r="O36" s="353"/>
      <c r="P36" s="353"/>
      <c r="Q36" s="353"/>
      <c r="R36" s="353"/>
      <c r="S36" s="386"/>
      <c r="T36" s="386"/>
      <c r="U36" s="451"/>
      <c r="V36" s="449"/>
      <c r="W36" s="449"/>
      <c r="X36" s="440"/>
      <c r="Y36" s="441"/>
      <c r="Z36" s="441"/>
      <c r="AA36" s="441"/>
      <c r="AB36" s="441"/>
      <c r="AC36" s="441"/>
      <c r="AD36" s="441"/>
      <c r="AE36" s="441"/>
      <c r="AF36" s="442"/>
      <c r="AG36" s="448"/>
      <c r="AH36" s="446"/>
    </row>
    <row r="37" spans="1:34" s="348" customFormat="1">
      <c r="A37" s="117"/>
      <c r="B37" s="352"/>
      <c r="C37" s="359" t="s">
        <v>2033</v>
      </c>
      <c r="D37" s="361">
        <f>T119</f>
        <v>245</v>
      </c>
      <c r="E37" s="361">
        <f>T111</f>
        <v>209</v>
      </c>
      <c r="F37" s="361">
        <f>T110</f>
        <v>14</v>
      </c>
      <c r="G37" s="362">
        <f>D37-E37-F37</f>
        <v>22</v>
      </c>
      <c r="H37" s="361">
        <v>0</v>
      </c>
      <c r="I37" s="361">
        <v>5</v>
      </c>
      <c r="J37" s="361">
        <v>2</v>
      </c>
      <c r="K37" s="361">
        <f>4+12</f>
        <v>16</v>
      </c>
      <c r="L37" s="361">
        <v>4</v>
      </c>
      <c r="M37" s="361" t="s">
        <v>1951</v>
      </c>
      <c r="N37" s="453">
        <f>SUM(L37:M37)</f>
        <v>4</v>
      </c>
      <c r="O37" s="353"/>
      <c r="P37" s="353"/>
      <c r="Q37" s="353"/>
      <c r="R37" s="353"/>
      <c r="S37" s="386"/>
      <c r="T37" s="386"/>
      <c r="U37" s="451"/>
      <c r="V37" s="449"/>
      <c r="W37" s="449"/>
      <c r="X37" s="440"/>
      <c r="Y37" s="441"/>
      <c r="Z37" s="441"/>
      <c r="AA37" s="441"/>
      <c r="AB37" s="441"/>
      <c r="AC37" s="441"/>
      <c r="AD37" s="441"/>
      <c r="AE37" s="441"/>
      <c r="AF37" s="442"/>
      <c r="AG37" s="448"/>
      <c r="AH37" s="446"/>
    </row>
    <row r="38" spans="1:34" s="348" customFormat="1" ht="18" thickBot="1">
      <c r="A38" s="117"/>
      <c r="B38" s="352"/>
      <c r="C38" s="359" t="s">
        <v>26</v>
      </c>
      <c r="D38" s="361">
        <f>T154</f>
        <v>135</v>
      </c>
      <c r="E38" s="361">
        <f>T146</f>
        <v>118</v>
      </c>
      <c r="F38" s="361">
        <f>T145</f>
        <v>0</v>
      </c>
      <c r="G38" s="362">
        <f>D38-E38-F38</f>
        <v>17</v>
      </c>
      <c r="H38" s="361">
        <v>0</v>
      </c>
      <c r="I38" s="361">
        <v>14</v>
      </c>
      <c r="J38" s="361">
        <v>11</v>
      </c>
      <c r="K38" s="361">
        <v>3</v>
      </c>
      <c r="L38" s="361">
        <v>6</v>
      </c>
      <c r="M38" s="361">
        <v>0</v>
      </c>
      <c r="N38" s="362">
        <f>SUM(L38:M38)</f>
        <v>6</v>
      </c>
      <c r="O38" s="353"/>
      <c r="P38" s="353"/>
      <c r="Q38" s="353"/>
      <c r="R38" s="353"/>
      <c r="S38" s="386"/>
      <c r="T38" s="386"/>
      <c r="U38" s="451"/>
      <c r="V38" s="449"/>
      <c r="W38" s="449"/>
      <c r="X38" s="440"/>
      <c r="Y38" s="441"/>
      <c r="Z38" s="441"/>
      <c r="AA38" s="441"/>
      <c r="AB38" s="441"/>
      <c r="AC38" s="441"/>
      <c r="AD38" s="441"/>
      <c r="AE38" s="441"/>
      <c r="AF38" s="442"/>
      <c r="AG38" s="448"/>
      <c r="AH38" s="446"/>
    </row>
    <row r="39" spans="1:34" s="348" customFormat="1" ht="18" thickBot="1">
      <c r="A39" s="117"/>
      <c r="B39" s="352"/>
      <c r="C39" s="363" t="s">
        <v>2031</v>
      </c>
      <c r="D39" s="364">
        <f>SUM(D36:D38)</f>
        <v>549</v>
      </c>
      <c r="E39" s="364">
        <f>SUM(E36:E38)</f>
        <v>473</v>
      </c>
      <c r="F39" s="364">
        <f>SUM(F36:F38)</f>
        <v>24</v>
      </c>
      <c r="G39" s="365">
        <f>SUM(G36:G38)</f>
        <v>52</v>
      </c>
      <c r="H39" s="364">
        <v>0</v>
      </c>
      <c r="I39" s="364">
        <f>SUM(I36:I38)</f>
        <v>32</v>
      </c>
      <c r="J39" s="364">
        <f>SUM(J36:J38)</f>
        <v>14</v>
      </c>
      <c r="K39" s="364">
        <f>SUM(K36:K38)</f>
        <v>19</v>
      </c>
      <c r="L39" s="364">
        <f>SUM(L36:L38)</f>
        <v>10</v>
      </c>
      <c r="M39" s="364">
        <v>0</v>
      </c>
      <c r="N39" s="365">
        <f>SUM(N36:N38)</f>
        <v>10</v>
      </c>
      <c r="O39" s="353"/>
      <c r="P39" s="353"/>
      <c r="Q39" s="353"/>
      <c r="R39" s="353"/>
      <c r="S39" s="386"/>
      <c r="T39" s="386"/>
      <c r="U39" s="451"/>
      <c r="V39" s="449"/>
      <c r="W39" s="449"/>
      <c r="X39" s="440"/>
      <c r="Y39" s="441"/>
      <c r="Z39" s="441"/>
      <c r="AA39" s="441"/>
      <c r="AB39" s="441"/>
      <c r="AC39" s="441"/>
      <c r="AD39" s="441"/>
      <c r="AE39" s="441"/>
      <c r="AF39" s="442"/>
      <c r="AG39" s="448"/>
      <c r="AH39" s="446"/>
    </row>
    <row r="40" spans="1:34" s="348" customFormat="1">
      <c r="A40" s="117"/>
      <c r="B40" s="352"/>
      <c r="C40" s="353" t="s">
        <v>13</v>
      </c>
      <c r="D40" s="353"/>
      <c r="E40" s="366">
        <f>E39/$D$39</f>
        <v>0.86156648451730422</v>
      </c>
      <c r="F40" s="366">
        <f>F39/$D$39</f>
        <v>4.3715846994535519E-2</v>
      </c>
      <c r="G40" s="366">
        <f>G39/$D$39</f>
        <v>9.4717668488160295E-2</v>
      </c>
      <c r="H40" s="353"/>
      <c r="I40" s="353"/>
      <c r="J40" s="353"/>
      <c r="K40" s="353"/>
      <c r="L40" s="353"/>
      <c r="M40" s="353"/>
      <c r="N40" s="353"/>
      <c r="O40" s="353"/>
      <c r="P40" s="353"/>
      <c r="Q40" s="353"/>
      <c r="R40" s="353"/>
      <c r="S40" s="353"/>
      <c r="T40" s="381"/>
      <c r="U40" s="381"/>
      <c r="V40" s="450"/>
      <c r="W40" s="450"/>
      <c r="X40" s="440"/>
      <c r="Y40" s="441"/>
      <c r="Z40" s="441"/>
      <c r="AA40" s="441"/>
      <c r="AB40" s="441"/>
      <c r="AC40" s="441"/>
      <c r="AD40" s="441"/>
      <c r="AE40" s="441"/>
      <c r="AF40" s="442"/>
      <c r="AG40" s="448"/>
      <c r="AH40" s="446"/>
    </row>
    <row r="41" spans="1:34">
      <c r="A41" s="117"/>
      <c r="B41" s="352"/>
      <c r="C41" s="367" t="s">
        <v>2035</v>
      </c>
      <c r="D41" s="353"/>
      <c r="E41" s="368">
        <f>E39/($D$39-$F$39)</f>
        <v>0.90095238095238095</v>
      </c>
      <c r="F41" s="369" t="s">
        <v>2036</v>
      </c>
      <c r="G41" s="368">
        <f>G39/($D$39-$F$39)</f>
        <v>9.9047619047619051E-2</v>
      </c>
      <c r="H41" s="353"/>
      <c r="I41" s="353"/>
      <c r="J41" s="353"/>
      <c r="K41" s="353"/>
      <c r="L41" s="353"/>
      <c r="M41" s="353"/>
      <c r="N41" s="353"/>
      <c r="O41" s="353"/>
      <c r="P41" s="353"/>
      <c r="Q41" s="353"/>
      <c r="R41" s="353"/>
      <c r="S41" s="353"/>
      <c r="T41" s="381"/>
      <c r="U41" s="381"/>
      <c r="V41" s="450"/>
      <c r="W41" s="450"/>
      <c r="X41" s="440"/>
      <c r="Y41" s="441"/>
      <c r="Z41" s="441"/>
      <c r="AA41" s="441"/>
      <c r="AB41" s="441"/>
      <c r="AC41" s="441"/>
      <c r="AD41" s="441"/>
      <c r="AE41" s="441"/>
      <c r="AF41" s="442"/>
      <c r="AG41" s="385"/>
      <c r="AH41" s="348"/>
    </row>
    <row r="42" spans="1:34">
      <c r="A42" s="117"/>
      <c r="B42" s="352"/>
      <c r="C42" s="353"/>
      <c r="D42" s="353"/>
      <c r="E42" s="353"/>
      <c r="F42" s="353"/>
      <c r="G42" s="353"/>
      <c r="H42" s="353"/>
      <c r="I42" s="353"/>
      <c r="J42" s="353"/>
      <c r="K42" s="353"/>
      <c r="L42" s="353"/>
      <c r="M42" s="353"/>
      <c r="N42" s="353"/>
      <c r="O42" s="353"/>
      <c r="P42" s="353"/>
      <c r="Q42" s="353"/>
      <c r="R42" s="353"/>
      <c r="S42" s="353"/>
      <c r="T42" s="381"/>
      <c r="U42" s="381"/>
      <c r="V42" s="450"/>
      <c r="W42" s="450"/>
      <c r="X42" s="440"/>
      <c r="Y42" s="441"/>
      <c r="Z42" s="441"/>
      <c r="AA42" s="441"/>
      <c r="AB42" s="441"/>
      <c r="AC42" s="441"/>
      <c r="AD42" s="441"/>
      <c r="AE42" s="441"/>
      <c r="AF42" s="442"/>
      <c r="AG42" s="385"/>
      <c r="AH42" s="348"/>
    </row>
    <row r="43" spans="1:34">
      <c r="A43" s="117"/>
      <c r="B43" s="352"/>
      <c r="C43" s="353"/>
      <c r="D43" s="353"/>
      <c r="E43" s="353"/>
      <c r="F43" s="353"/>
      <c r="G43" s="353"/>
      <c r="H43" s="353"/>
      <c r="I43" s="353"/>
      <c r="J43" s="353"/>
      <c r="K43" s="353"/>
      <c r="L43" s="353"/>
      <c r="M43" s="353"/>
      <c r="N43" s="353"/>
      <c r="O43" s="353"/>
      <c r="P43" s="353"/>
      <c r="Q43" s="353"/>
      <c r="R43" s="353"/>
      <c r="S43" s="353"/>
      <c r="T43" s="381"/>
      <c r="U43" s="381"/>
      <c r="V43" s="450"/>
      <c r="W43" s="450"/>
      <c r="X43" s="440"/>
      <c r="Y43" s="441"/>
      <c r="Z43" s="441"/>
      <c r="AA43" s="441"/>
      <c r="AB43" s="441"/>
      <c r="AC43" s="441"/>
      <c r="AD43" s="441"/>
      <c r="AE43" s="441"/>
      <c r="AF43" s="442"/>
      <c r="AG43" s="385"/>
      <c r="AH43" s="348"/>
    </row>
    <row r="44" spans="1:34">
      <c r="A44" s="117"/>
      <c r="B44" s="352"/>
      <c r="C44" s="358"/>
      <c r="D44" s="359" t="s">
        <v>2037</v>
      </c>
      <c r="E44" s="359" t="s">
        <v>2038</v>
      </c>
      <c r="F44" s="359" t="s">
        <v>2039</v>
      </c>
      <c r="G44" s="360" t="s">
        <v>2030</v>
      </c>
      <c r="H44" s="371">
        <v>45660</v>
      </c>
      <c r="I44" s="371">
        <v>45667</v>
      </c>
      <c r="J44" s="371">
        <v>45674</v>
      </c>
      <c r="K44" s="371">
        <v>45678</v>
      </c>
      <c r="L44" s="370" t="s">
        <v>2034</v>
      </c>
      <c r="M44" s="370" t="s">
        <v>2068</v>
      </c>
      <c r="N44" s="353"/>
      <c r="O44" s="353"/>
      <c r="P44" s="353"/>
      <c r="Q44" s="353"/>
      <c r="R44" s="381"/>
      <c r="S44" s="381"/>
      <c r="T44" s="381"/>
      <c r="U44" s="386"/>
      <c r="V44" s="384"/>
      <c r="W44" s="384"/>
      <c r="X44" s="440"/>
      <c r="Y44" s="441"/>
      <c r="Z44" s="441"/>
      <c r="AA44" s="441"/>
      <c r="AB44" s="441"/>
      <c r="AC44" s="441"/>
      <c r="AD44" s="441"/>
      <c r="AE44" s="441"/>
      <c r="AF44" s="442"/>
      <c r="AG44" s="385"/>
      <c r="AH44" s="117"/>
    </row>
    <row r="45" spans="1:34">
      <c r="A45" s="117"/>
      <c r="B45" s="352"/>
      <c r="C45" s="359" t="s">
        <v>2032</v>
      </c>
      <c r="D45" s="361">
        <f>U95</f>
        <v>169</v>
      </c>
      <c r="E45" s="361">
        <f>U87</f>
        <v>147</v>
      </c>
      <c r="F45" s="361">
        <f>U86</f>
        <v>10</v>
      </c>
      <c r="G45" s="362">
        <f>D45-E45-F45</f>
        <v>12</v>
      </c>
      <c r="H45" s="361">
        <v>0</v>
      </c>
      <c r="I45" s="361">
        <v>1</v>
      </c>
      <c r="J45" s="361">
        <v>0</v>
      </c>
      <c r="K45" s="361">
        <v>0</v>
      </c>
      <c r="L45" s="452">
        <f>SUM(J45:K45)</f>
        <v>0</v>
      </c>
      <c r="M45" s="455" t="s">
        <v>2066</v>
      </c>
      <c r="N45" s="353"/>
      <c r="O45" s="353"/>
      <c r="P45" s="353"/>
      <c r="Q45" s="353"/>
      <c r="R45" s="381"/>
      <c r="S45" s="381"/>
      <c r="T45" s="381"/>
      <c r="U45" s="386"/>
      <c r="V45" s="384"/>
      <c r="W45" s="384"/>
      <c r="X45" s="440"/>
      <c r="Y45" s="441"/>
      <c r="Z45" s="441"/>
      <c r="AA45" s="441"/>
      <c r="AB45" s="441"/>
      <c r="AC45" s="441"/>
      <c r="AD45" s="441"/>
      <c r="AE45" s="441"/>
      <c r="AF45" s="442"/>
      <c r="AG45" s="385"/>
      <c r="AH45" s="117"/>
    </row>
    <row r="46" spans="1:34">
      <c r="A46" s="117"/>
      <c r="B46" s="352"/>
      <c r="C46" s="359" t="s">
        <v>2033</v>
      </c>
      <c r="D46" s="361">
        <f>U119</f>
        <v>245</v>
      </c>
      <c r="E46" s="361">
        <f>U111</f>
        <v>204</v>
      </c>
      <c r="F46" s="361">
        <f>U110</f>
        <v>14</v>
      </c>
      <c r="G46" s="362">
        <f>D46-E46-F46</f>
        <v>27</v>
      </c>
      <c r="H46" s="361">
        <v>0</v>
      </c>
      <c r="I46" s="361">
        <v>2</v>
      </c>
      <c r="J46" s="361">
        <v>4</v>
      </c>
      <c r="K46" s="361" t="s">
        <v>1951</v>
      </c>
      <c r="L46" s="452">
        <f>SUM(J46:K46)</f>
        <v>4</v>
      </c>
      <c r="M46" s="456" t="s">
        <v>2067</v>
      </c>
      <c r="N46" s="353"/>
      <c r="O46" s="353"/>
      <c r="P46" s="353"/>
      <c r="Q46" s="353"/>
      <c r="R46" s="381"/>
      <c r="S46" s="381"/>
      <c r="T46" s="381"/>
      <c r="U46" s="386"/>
      <c r="V46" s="384"/>
      <c r="W46" s="384"/>
      <c r="X46" s="440"/>
      <c r="Y46" s="441"/>
      <c r="Z46" s="441"/>
      <c r="AA46" s="441"/>
      <c r="AB46" s="441"/>
      <c r="AC46" s="441"/>
      <c r="AD46" s="441"/>
      <c r="AE46" s="441"/>
      <c r="AF46" s="442"/>
      <c r="AG46" s="385"/>
      <c r="AH46" s="117"/>
    </row>
    <row r="47" spans="1:34" ht="18" thickBot="1">
      <c r="A47" s="117"/>
      <c r="B47" s="352"/>
      <c r="C47" s="359" t="s">
        <v>26</v>
      </c>
      <c r="D47" s="361">
        <f>U154</f>
        <v>135</v>
      </c>
      <c r="E47" s="361">
        <f>U146</f>
        <v>119</v>
      </c>
      <c r="F47" s="361">
        <f>U145</f>
        <v>0</v>
      </c>
      <c r="G47" s="362">
        <f>D47-E47-F47</f>
        <v>16</v>
      </c>
      <c r="H47" s="361">
        <v>0</v>
      </c>
      <c r="I47" s="361">
        <v>11</v>
      </c>
      <c r="J47" s="361">
        <v>6</v>
      </c>
      <c r="K47" s="361">
        <v>0</v>
      </c>
      <c r="L47" s="452">
        <f>SUM(J47:K47)</f>
        <v>6</v>
      </c>
      <c r="M47" s="455" t="s">
        <v>2065</v>
      </c>
      <c r="N47" s="353"/>
      <c r="O47" s="353"/>
      <c r="P47" s="353"/>
      <c r="Q47" s="353"/>
      <c r="R47" s="381"/>
      <c r="S47" s="381"/>
      <c r="T47" s="381"/>
      <c r="U47" s="386"/>
      <c r="V47" s="384"/>
      <c r="W47" s="384"/>
      <c r="X47" s="440"/>
      <c r="Y47" s="441"/>
      <c r="Z47" s="441"/>
      <c r="AA47" s="441"/>
      <c r="AB47" s="441"/>
      <c r="AC47" s="441"/>
      <c r="AD47" s="441"/>
      <c r="AE47" s="441"/>
      <c r="AF47" s="442"/>
      <c r="AG47" s="385"/>
      <c r="AH47" s="117"/>
    </row>
    <row r="48" spans="1:34" ht="18" thickBot="1">
      <c r="A48" s="117"/>
      <c r="B48" s="352"/>
      <c r="C48" s="363" t="s">
        <v>2031</v>
      </c>
      <c r="D48" s="364">
        <f t="shared" ref="D48:J48" si="1">SUM(D45:D47)</f>
        <v>549</v>
      </c>
      <c r="E48" s="364">
        <f t="shared" si="1"/>
        <v>470</v>
      </c>
      <c r="F48" s="364">
        <f t="shared" si="1"/>
        <v>24</v>
      </c>
      <c r="G48" s="365">
        <f t="shared" si="1"/>
        <v>55</v>
      </c>
      <c r="H48" s="364">
        <f t="shared" si="1"/>
        <v>0</v>
      </c>
      <c r="I48" s="364">
        <f t="shared" si="1"/>
        <v>14</v>
      </c>
      <c r="J48" s="364">
        <f t="shared" si="1"/>
        <v>10</v>
      </c>
      <c r="K48" s="364">
        <v>0</v>
      </c>
      <c r="L48" s="457">
        <f>SUM(L45:L47)</f>
        <v>10</v>
      </c>
      <c r="M48" s="454"/>
      <c r="N48" s="353"/>
      <c r="O48" s="353"/>
      <c r="P48" s="353"/>
      <c r="Q48" s="353"/>
      <c r="R48" s="381"/>
      <c r="S48" s="381"/>
      <c r="T48" s="381"/>
      <c r="U48" s="386"/>
      <c r="V48" s="384"/>
      <c r="W48" s="384"/>
      <c r="X48" s="440"/>
      <c r="Y48" s="441"/>
      <c r="Z48" s="441"/>
      <c r="AA48" s="441"/>
      <c r="AB48" s="441"/>
      <c r="AC48" s="441"/>
      <c r="AD48" s="441"/>
      <c r="AE48" s="441"/>
      <c r="AF48" s="442"/>
      <c r="AG48" s="385"/>
      <c r="AH48" s="117"/>
    </row>
    <row r="49" spans="1:34">
      <c r="A49" s="117"/>
      <c r="B49" s="352"/>
      <c r="C49" s="353" t="s">
        <v>13</v>
      </c>
      <c r="D49" s="353"/>
      <c r="E49" s="366">
        <f>E48/$D$48</f>
        <v>0.85610200364298727</v>
      </c>
      <c r="F49" s="366">
        <f>F48/$D$48</f>
        <v>4.3715846994535519E-2</v>
      </c>
      <c r="G49" s="366">
        <f>G48/$D$48</f>
        <v>0.10018214936247723</v>
      </c>
      <c r="H49" s="353"/>
      <c r="I49" s="353"/>
      <c r="J49" s="353"/>
      <c r="K49" s="353"/>
      <c r="L49" s="353"/>
      <c r="M49" s="353"/>
      <c r="N49" s="353"/>
      <c r="O49" s="353"/>
      <c r="P49" s="353"/>
      <c r="Q49" s="353"/>
      <c r="R49" s="353"/>
      <c r="S49" s="353"/>
      <c r="T49" s="381"/>
      <c r="U49" s="353"/>
      <c r="V49" s="386"/>
      <c r="W49" s="386"/>
      <c r="X49" s="440"/>
      <c r="Y49" s="441"/>
      <c r="Z49" s="441"/>
      <c r="AA49" s="441"/>
      <c r="AB49" s="441"/>
      <c r="AC49" s="441"/>
      <c r="AD49" s="441"/>
      <c r="AE49" s="441"/>
      <c r="AF49" s="442"/>
      <c r="AG49" s="385"/>
      <c r="AH49" s="348"/>
    </row>
    <row r="50" spans="1:34">
      <c r="A50" s="117"/>
      <c r="B50" s="352"/>
      <c r="C50" s="367" t="s">
        <v>2035</v>
      </c>
      <c r="D50" s="367"/>
      <c r="E50" s="368">
        <f>E48/($D$48-F48)</f>
        <v>0.89523809523809528</v>
      </c>
      <c r="F50" s="369" t="s">
        <v>2036</v>
      </c>
      <c r="G50" s="368">
        <f>G48/($D$48-F48)</f>
        <v>0.10476190476190476</v>
      </c>
      <c r="H50" s="353"/>
      <c r="I50" s="353"/>
      <c r="J50" s="353"/>
      <c r="K50" s="353"/>
      <c r="L50" s="353"/>
      <c r="M50" s="353"/>
      <c r="N50" s="353"/>
      <c r="O50" s="353"/>
      <c r="P50" s="353"/>
      <c r="Q50" s="353"/>
      <c r="R50" s="353"/>
      <c r="S50" s="353"/>
      <c r="T50" s="381"/>
      <c r="U50" s="353"/>
      <c r="V50" s="386"/>
      <c r="W50" s="386"/>
      <c r="X50" s="440"/>
      <c r="Y50" s="441"/>
      <c r="Z50" s="441"/>
      <c r="AA50" s="441"/>
      <c r="AB50" s="441"/>
      <c r="AC50" s="441"/>
      <c r="AD50" s="441"/>
      <c r="AE50" s="441"/>
      <c r="AF50" s="442"/>
      <c r="AG50" s="385"/>
      <c r="AH50" s="348"/>
    </row>
    <row r="51" spans="1:34">
      <c r="A51" s="117"/>
      <c r="B51" s="352"/>
      <c r="C51" s="367"/>
      <c r="D51" s="367"/>
      <c r="E51" s="368"/>
      <c r="F51" s="369"/>
      <c r="G51" s="368"/>
      <c r="H51" s="353"/>
      <c r="I51" s="353"/>
      <c r="J51" s="353"/>
      <c r="K51" s="353"/>
      <c r="L51" s="353"/>
      <c r="M51" s="353"/>
      <c r="N51" s="353"/>
      <c r="O51" s="353"/>
      <c r="P51" s="353"/>
      <c r="Q51" s="353"/>
      <c r="R51" s="353"/>
      <c r="S51" s="353"/>
      <c r="T51" s="381"/>
      <c r="U51" s="353"/>
      <c r="V51" s="386"/>
      <c r="W51" s="386"/>
      <c r="X51" s="440"/>
      <c r="Y51" s="441"/>
      <c r="Z51" s="441"/>
      <c r="AA51" s="441"/>
      <c r="AB51" s="441"/>
      <c r="AC51" s="441"/>
      <c r="AD51" s="441"/>
      <c r="AE51" s="441"/>
      <c r="AF51" s="442"/>
      <c r="AG51" s="385"/>
      <c r="AH51" s="348"/>
    </row>
    <row r="52" spans="1:34">
      <c r="A52" s="117"/>
      <c r="B52" s="352"/>
      <c r="C52" s="367"/>
      <c r="D52" s="367"/>
      <c r="E52" s="368"/>
      <c r="F52" s="369"/>
      <c r="G52" s="368"/>
      <c r="H52" s="353"/>
      <c r="I52" s="353"/>
      <c r="J52" s="353"/>
      <c r="K52" s="353"/>
      <c r="L52" s="353"/>
      <c r="M52" s="353"/>
      <c r="N52" s="353"/>
      <c r="O52" s="353"/>
      <c r="P52" s="353"/>
      <c r="Q52" s="353"/>
      <c r="R52" s="353"/>
      <c r="S52" s="353"/>
      <c r="T52" s="381"/>
      <c r="U52" s="353"/>
      <c r="V52" s="386"/>
      <c r="W52" s="386"/>
      <c r="X52" s="440"/>
      <c r="Y52" s="441"/>
      <c r="Z52" s="441"/>
      <c r="AA52" s="441"/>
      <c r="AB52" s="441"/>
      <c r="AC52" s="441"/>
      <c r="AD52" s="441"/>
      <c r="AE52" s="441"/>
      <c r="AF52" s="442"/>
      <c r="AG52" s="385"/>
      <c r="AH52" s="348"/>
    </row>
    <row r="53" spans="1:34">
      <c r="A53" s="117"/>
      <c r="B53" s="352"/>
      <c r="C53" s="367"/>
      <c r="D53" s="367"/>
      <c r="E53" s="368"/>
      <c r="F53" s="369"/>
      <c r="G53" s="368"/>
      <c r="H53" s="353"/>
      <c r="I53" s="353"/>
      <c r="J53" s="353"/>
      <c r="K53" s="353"/>
      <c r="L53" s="353"/>
      <c r="M53" s="353"/>
      <c r="N53" s="353"/>
      <c r="O53" s="353"/>
      <c r="P53" s="353"/>
      <c r="Q53" s="353"/>
      <c r="R53" s="353"/>
      <c r="S53" s="353"/>
      <c r="T53" s="381"/>
      <c r="U53" s="353"/>
      <c r="V53" s="386"/>
      <c r="W53" s="386"/>
      <c r="X53" s="440"/>
      <c r="Y53" s="441"/>
      <c r="Z53" s="441"/>
      <c r="AA53" s="441"/>
      <c r="AB53" s="441"/>
      <c r="AC53" s="441"/>
      <c r="AD53" s="441"/>
      <c r="AE53" s="441"/>
      <c r="AF53" s="442"/>
      <c r="AG53" s="385"/>
      <c r="AH53" s="348"/>
    </row>
    <row r="54" spans="1:34">
      <c r="A54" s="117"/>
      <c r="B54" s="352"/>
      <c r="C54" s="367"/>
      <c r="D54" s="367"/>
      <c r="E54" s="368"/>
      <c r="F54" s="369"/>
      <c r="G54" s="368"/>
      <c r="H54" s="353"/>
      <c r="I54" s="353"/>
      <c r="J54" s="353"/>
      <c r="K54" s="353"/>
      <c r="L54" s="353"/>
      <c r="M54" s="353"/>
      <c r="N54" s="353"/>
      <c r="O54" s="353"/>
      <c r="P54" s="353"/>
      <c r="Q54" s="353"/>
      <c r="R54" s="353"/>
      <c r="S54" s="353"/>
      <c r="T54" s="381"/>
      <c r="U54" s="353"/>
      <c r="V54" s="386"/>
      <c r="W54" s="386"/>
      <c r="X54" s="440"/>
      <c r="Y54" s="441"/>
      <c r="Z54" s="441"/>
      <c r="AA54" s="441"/>
      <c r="AB54" s="441"/>
      <c r="AC54" s="441"/>
      <c r="AD54" s="441"/>
      <c r="AE54" s="441"/>
      <c r="AF54" s="442"/>
      <c r="AG54" s="385"/>
      <c r="AH54" s="348"/>
    </row>
    <row r="55" spans="1:34">
      <c r="A55" s="117"/>
      <c r="B55" s="352"/>
      <c r="C55" s="367"/>
      <c r="D55" s="367"/>
      <c r="E55" s="368"/>
      <c r="F55" s="369"/>
      <c r="G55" s="368"/>
      <c r="H55" s="353"/>
      <c r="I55" s="353"/>
      <c r="J55" s="353"/>
      <c r="K55" s="353"/>
      <c r="L55" s="353"/>
      <c r="M55" s="353"/>
      <c r="N55" s="353"/>
      <c r="O55" s="353"/>
      <c r="P55" s="353"/>
      <c r="Q55" s="353"/>
      <c r="R55" s="353"/>
      <c r="S55" s="353"/>
      <c r="T55" s="381"/>
      <c r="U55" s="353"/>
      <c r="V55" s="386"/>
      <c r="W55" s="386"/>
      <c r="X55" s="440"/>
      <c r="Y55" s="441"/>
      <c r="Z55" s="441"/>
      <c r="AA55" s="441"/>
      <c r="AB55" s="441"/>
      <c r="AC55" s="441"/>
      <c r="AD55" s="441"/>
      <c r="AE55" s="441"/>
      <c r="AF55" s="442"/>
      <c r="AG55" s="385"/>
      <c r="AH55" s="348"/>
    </row>
    <row r="56" spans="1:34">
      <c r="A56" s="117"/>
      <c r="B56" s="352"/>
      <c r="C56" s="367"/>
      <c r="D56" s="367"/>
      <c r="E56" s="368"/>
      <c r="F56" s="369"/>
      <c r="G56" s="368"/>
      <c r="H56" s="353"/>
      <c r="I56" s="353"/>
      <c r="J56" s="353"/>
      <c r="K56" s="353"/>
      <c r="L56" s="353"/>
      <c r="M56" s="353"/>
      <c r="N56" s="353"/>
      <c r="O56" s="353"/>
      <c r="P56" s="353"/>
      <c r="Q56" s="353"/>
      <c r="R56" s="353"/>
      <c r="S56" s="353"/>
      <c r="T56" s="381"/>
      <c r="U56" s="353"/>
      <c r="V56" s="386"/>
      <c r="W56" s="386"/>
      <c r="X56" s="440"/>
      <c r="Y56" s="441"/>
      <c r="Z56" s="441"/>
      <c r="AA56" s="441"/>
      <c r="AB56" s="441"/>
      <c r="AC56" s="441"/>
      <c r="AD56" s="441"/>
      <c r="AE56" s="441"/>
      <c r="AF56" s="442"/>
      <c r="AG56" s="385"/>
      <c r="AH56" s="348"/>
    </row>
    <row r="57" spans="1:34">
      <c r="A57" s="117"/>
      <c r="B57" s="352"/>
      <c r="C57" s="367"/>
      <c r="D57" s="367"/>
      <c r="E57" s="368"/>
      <c r="F57" s="369"/>
      <c r="G57" s="368"/>
      <c r="H57" s="353"/>
      <c r="I57" s="353"/>
      <c r="J57" s="353"/>
      <c r="K57" s="353"/>
      <c r="L57" s="353"/>
      <c r="M57" s="353"/>
      <c r="N57" s="353"/>
      <c r="O57" s="353"/>
      <c r="P57" s="353"/>
      <c r="Q57" s="353"/>
      <c r="R57" s="353"/>
      <c r="S57" s="353"/>
      <c r="T57" s="381"/>
      <c r="U57" s="353"/>
      <c r="V57" s="386"/>
      <c r="W57" s="386"/>
      <c r="X57" s="440"/>
      <c r="Y57" s="441"/>
      <c r="Z57" s="441"/>
      <c r="AA57" s="441"/>
      <c r="AB57" s="441"/>
      <c r="AC57" s="441"/>
      <c r="AD57" s="441"/>
      <c r="AE57" s="441"/>
      <c r="AF57" s="442"/>
      <c r="AG57" s="385"/>
      <c r="AH57" s="348"/>
    </row>
    <row r="58" spans="1:34">
      <c r="A58" s="117"/>
      <c r="B58" s="352"/>
      <c r="C58" s="367"/>
      <c r="D58" s="367"/>
      <c r="E58" s="368"/>
      <c r="F58" s="369"/>
      <c r="G58" s="368"/>
      <c r="H58" s="353"/>
      <c r="I58" s="353"/>
      <c r="J58" s="353"/>
      <c r="K58" s="353"/>
      <c r="L58" s="353"/>
      <c r="M58" s="353"/>
      <c r="N58" s="353"/>
      <c r="O58" s="353"/>
      <c r="P58" s="353"/>
      <c r="Q58" s="353"/>
      <c r="R58" s="353"/>
      <c r="S58" s="353"/>
      <c r="T58" s="381"/>
      <c r="U58" s="353"/>
      <c r="V58" s="386"/>
      <c r="W58" s="386"/>
      <c r="X58" s="440"/>
      <c r="Y58" s="441"/>
      <c r="Z58" s="441"/>
      <c r="AA58" s="441"/>
      <c r="AB58" s="441"/>
      <c r="AC58" s="441"/>
      <c r="AD58" s="441"/>
      <c r="AE58" s="441"/>
      <c r="AF58" s="442"/>
      <c r="AG58" s="385"/>
      <c r="AH58" s="348"/>
    </row>
    <row r="59" spans="1:34">
      <c r="A59" s="117"/>
      <c r="B59" s="352"/>
      <c r="C59" s="367"/>
      <c r="D59" s="367"/>
      <c r="E59" s="368"/>
      <c r="F59" s="369"/>
      <c r="G59" s="368"/>
      <c r="H59" s="353"/>
      <c r="I59" s="353"/>
      <c r="J59" s="353"/>
      <c r="K59" s="353"/>
      <c r="L59" s="353"/>
      <c r="M59" s="353"/>
      <c r="N59" s="353"/>
      <c r="O59" s="353"/>
      <c r="P59" s="353"/>
      <c r="Q59" s="353"/>
      <c r="R59" s="353"/>
      <c r="S59" s="353"/>
      <c r="T59" s="381"/>
      <c r="U59" s="353"/>
      <c r="V59" s="386"/>
      <c r="W59" s="386"/>
      <c r="X59" s="440"/>
      <c r="Y59" s="441"/>
      <c r="Z59" s="441"/>
      <c r="AA59" s="441"/>
      <c r="AB59" s="441"/>
      <c r="AC59" s="441"/>
      <c r="AD59" s="441"/>
      <c r="AE59" s="441"/>
      <c r="AF59" s="442"/>
      <c r="AG59" s="385"/>
      <c r="AH59" s="348"/>
    </row>
    <row r="60" spans="1:34">
      <c r="A60" s="117"/>
      <c r="B60" s="352"/>
      <c r="C60" s="367"/>
      <c r="D60" s="367"/>
      <c r="E60" s="368"/>
      <c r="F60" s="369"/>
      <c r="G60" s="368"/>
      <c r="H60" s="353"/>
      <c r="I60" s="353"/>
      <c r="J60" s="353"/>
      <c r="K60" s="353"/>
      <c r="L60" s="353"/>
      <c r="M60" s="353"/>
      <c r="N60" s="353"/>
      <c r="O60" s="353"/>
      <c r="P60" s="353"/>
      <c r="Q60" s="353"/>
      <c r="R60" s="353"/>
      <c r="S60" s="353"/>
      <c r="T60" s="381"/>
      <c r="U60" s="353"/>
      <c r="V60" s="386"/>
      <c r="W60" s="386"/>
      <c r="X60" s="440"/>
      <c r="Y60" s="441"/>
      <c r="Z60" s="441"/>
      <c r="AA60" s="441"/>
      <c r="AB60" s="441"/>
      <c r="AC60" s="441"/>
      <c r="AD60" s="441"/>
      <c r="AE60" s="441"/>
      <c r="AF60" s="442"/>
      <c r="AG60" s="385"/>
      <c r="AH60" s="348"/>
    </row>
    <row r="61" spans="1:34">
      <c r="A61" s="117"/>
      <c r="B61" s="352"/>
      <c r="C61" s="367"/>
      <c r="D61" s="367"/>
      <c r="E61" s="368"/>
      <c r="F61" s="369"/>
      <c r="G61" s="368"/>
      <c r="H61" s="353"/>
      <c r="I61" s="353"/>
      <c r="J61" s="353"/>
      <c r="K61" s="353"/>
      <c r="L61" s="353"/>
      <c r="M61" s="353"/>
      <c r="N61" s="353"/>
      <c r="O61" s="353"/>
      <c r="P61" s="353"/>
      <c r="Q61" s="353"/>
      <c r="R61" s="353"/>
      <c r="S61" s="353"/>
      <c r="T61" s="381"/>
      <c r="U61" s="353"/>
      <c r="V61" s="386"/>
      <c r="W61" s="386"/>
      <c r="X61" s="440"/>
      <c r="Y61" s="441"/>
      <c r="Z61" s="441"/>
      <c r="AA61" s="441"/>
      <c r="AB61" s="441"/>
      <c r="AC61" s="441"/>
      <c r="AD61" s="441"/>
      <c r="AE61" s="441"/>
      <c r="AF61" s="442"/>
      <c r="AG61" s="385"/>
      <c r="AH61" s="348"/>
    </row>
    <row r="62" spans="1:34">
      <c r="A62" s="117"/>
      <c r="B62" s="352"/>
      <c r="C62" s="367"/>
      <c r="D62" s="367"/>
      <c r="E62" s="368"/>
      <c r="F62" s="369"/>
      <c r="G62" s="368"/>
      <c r="H62" s="353"/>
      <c r="I62" s="353"/>
      <c r="J62" s="353"/>
      <c r="K62" s="353"/>
      <c r="L62" s="353"/>
      <c r="M62" s="353"/>
      <c r="N62" s="353"/>
      <c r="O62" s="353"/>
      <c r="P62" s="353"/>
      <c r="Q62" s="353"/>
      <c r="R62" s="353"/>
      <c r="S62" s="353"/>
      <c r="T62" s="381"/>
      <c r="U62" s="353"/>
      <c r="V62" s="386"/>
      <c r="W62" s="386"/>
      <c r="X62" s="440"/>
      <c r="Y62" s="441"/>
      <c r="Z62" s="441"/>
      <c r="AA62" s="441"/>
      <c r="AB62" s="441"/>
      <c r="AC62" s="441"/>
      <c r="AD62" s="441"/>
      <c r="AE62" s="441"/>
      <c r="AF62" s="442"/>
      <c r="AG62" s="385"/>
      <c r="AH62" s="348"/>
    </row>
    <row r="63" spans="1:34">
      <c r="A63" s="117"/>
      <c r="B63" s="352"/>
      <c r="C63" s="367"/>
      <c r="D63" s="367"/>
      <c r="E63" s="368"/>
      <c r="F63" s="369"/>
      <c r="G63" s="368"/>
      <c r="H63" s="353"/>
      <c r="I63" s="353"/>
      <c r="J63" s="353"/>
      <c r="K63" s="353"/>
      <c r="L63" s="353"/>
      <c r="M63" s="353"/>
      <c r="N63" s="353"/>
      <c r="O63" s="353"/>
      <c r="P63" s="353"/>
      <c r="Q63" s="353"/>
      <c r="R63" s="353"/>
      <c r="S63" s="353"/>
      <c r="T63" s="381"/>
      <c r="U63" s="353"/>
      <c r="V63" s="386"/>
      <c r="W63" s="386"/>
      <c r="X63" s="440"/>
      <c r="Y63" s="441"/>
      <c r="Z63" s="441"/>
      <c r="AA63" s="441"/>
      <c r="AB63" s="441"/>
      <c r="AC63" s="441"/>
      <c r="AD63" s="441"/>
      <c r="AE63" s="441"/>
      <c r="AF63" s="442"/>
      <c r="AG63" s="385"/>
      <c r="AH63" s="348"/>
    </row>
    <row r="64" spans="1:34">
      <c r="A64" s="117"/>
      <c r="B64" s="352"/>
      <c r="C64" s="367"/>
      <c r="D64" s="367"/>
      <c r="E64" s="368"/>
      <c r="F64" s="369"/>
      <c r="G64" s="368"/>
      <c r="H64" s="353"/>
      <c r="I64" s="353"/>
      <c r="J64" s="353"/>
      <c r="K64" s="353"/>
      <c r="L64" s="353"/>
      <c r="M64" s="353"/>
      <c r="N64" s="353"/>
      <c r="O64" s="353"/>
      <c r="P64" s="353"/>
      <c r="Q64" s="353"/>
      <c r="R64" s="353"/>
      <c r="S64" s="353"/>
      <c r="T64" s="381"/>
      <c r="U64" s="353"/>
      <c r="V64" s="386"/>
      <c r="W64" s="386"/>
      <c r="X64" s="440"/>
      <c r="Y64" s="441"/>
      <c r="Z64" s="441"/>
      <c r="AA64" s="441"/>
      <c r="AB64" s="441"/>
      <c r="AC64" s="441"/>
      <c r="AD64" s="441"/>
      <c r="AE64" s="441"/>
      <c r="AF64" s="442"/>
      <c r="AG64" s="385"/>
      <c r="AH64" s="348"/>
    </row>
    <row r="65" spans="1:34">
      <c r="A65" s="117"/>
      <c r="B65" s="352"/>
      <c r="C65" s="367"/>
      <c r="D65" s="367"/>
      <c r="E65" s="368"/>
      <c r="F65" s="369"/>
      <c r="G65" s="368"/>
      <c r="H65" s="353"/>
      <c r="I65" s="353"/>
      <c r="J65" s="353"/>
      <c r="K65" s="353"/>
      <c r="L65" s="353"/>
      <c r="M65" s="353"/>
      <c r="N65" s="353"/>
      <c r="O65" s="353"/>
      <c r="P65" s="353"/>
      <c r="Q65" s="353"/>
      <c r="R65" s="353"/>
      <c r="S65" s="353"/>
      <c r="T65" s="381"/>
      <c r="U65" s="353"/>
      <c r="V65" s="386"/>
      <c r="W65" s="386"/>
      <c r="X65" s="440"/>
      <c r="Y65" s="441"/>
      <c r="Z65" s="441"/>
      <c r="AA65" s="441"/>
      <c r="AB65" s="441"/>
      <c r="AC65" s="441"/>
      <c r="AD65" s="441"/>
      <c r="AE65" s="441"/>
      <c r="AF65" s="442"/>
      <c r="AG65" s="385"/>
      <c r="AH65" s="348"/>
    </row>
    <row r="66" spans="1:34">
      <c r="A66" s="117"/>
      <c r="B66" s="352"/>
      <c r="C66" s="367"/>
      <c r="D66" s="367"/>
      <c r="E66" s="368"/>
      <c r="F66" s="369"/>
      <c r="G66" s="368"/>
      <c r="H66" s="353"/>
      <c r="I66" s="353"/>
      <c r="J66" s="353"/>
      <c r="K66" s="353"/>
      <c r="L66" s="353"/>
      <c r="M66" s="353"/>
      <c r="N66" s="353"/>
      <c r="O66" s="353"/>
      <c r="P66" s="353"/>
      <c r="Q66" s="353"/>
      <c r="R66" s="353"/>
      <c r="S66" s="353"/>
      <c r="T66" s="381"/>
      <c r="U66" s="353"/>
      <c r="V66" s="386"/>
      <c r="W66" s="386"/>
      <c r="X66" s="440"/>
      <c r="Y66" s="441"/>
      <c r="Z66" s="441"/>
      <c r="AA66" s="441"/>
      <c r="AB66" s="441"/>
      <c r="AC66" s="441"/>
      <c r="AD66" s="441"/>
      <c r="AE66" s="441"/>
      <c r="AF66" s="442"/>
      <c r="AG66" s="385"/>
      <c r="AH66" s="348"/>
    </row>
    <row r="67" spans="1:34">
      <c r="A67" s="117"/>
      <c r="B67" s="352"/>
      <c r="C67" s="367"/>
      <c r="D67" s="367"/>
      <c r="E67" s="368"/>
      <c r="F67" s="369"/>
      <c r="G67" s="368"/>
      <c r="H67" s="353"/>
      <c r="I67" s="353"/>
      <c r="J67" s="353"/>
      <c r="K67" s="353"/>
      <c r="L67" s="353"/>
      <c r="M67" s="353"/>
      <c r="N67" s="353"/>
      <c r="O67" s="353"/>
      <c r="P67" s="353"/>
      <c r="Q67" s="353"/>
      <c r="R67" s="353"/>
      <c r="S67" s="353"/>
      <c r="T67" s="381"/>
      <c r="U67" s="353"/>
      <c r="V67" s="386"/>
      <c r="W67" s="386"/>
      <c r="X67" s="440"/>
      <c r="Y67" s="441"/>
      <c r="Z67" s="441"/>
      <c r="AA67" s="441"/>
      <c r="AB67" s="441"/>
      <c r="AC67" s="441"/>
      <c r="AD67" s="441"/>
      <c r="AE67" s="441"/>
      <c r="AF67" s="442"/>
      <c r="AG67" s="385"/>
      <c r="AH67" s="348"/>
    </row>
    <row r="68" spans="1:34">
      <c r="A68" s="117"/>
      <c r="B68" s="352"/>
      <c r="C68" s="367"/>
      <c r="D68" s="367"/>
      <c r="E68" s="368"/>
      <c r="F68" s="369"/>
      <c r="G68" s="368"/>
      <c r="H68" s="353"/>
      <c r="I68" s="353"/>
      <c r="J68" s="353"/>
      <c r="K68" s="353"/>
      <c r="L68" s="353"/>
      <c r="M68" s="353"/>
      <c r="N68" s="353"/>
      <c r="O68" s="353"/>
      <c r="P68" s="353"/>
      <c r="Q68" s="353"/>
      <c r="R68" s="353"/>
      <c r="S68" s="353"/>
      <c r="T68" s="381"/>
      <c r="U68" s="353"/>
      <c r="V68" s="386"/>
      <c r="W68" s="386"/>
      <c r="X68" s="440"/>
      <c r="Y68" s="441"/>
      <c r="Z68" s="441"/>
      <c r="AA68" s="441"/>
      <c r="AB68" s="441"/>
      <c r="AC68" s="441"/>
      <c r="AD68" s="441"/>
      <c r="AE68" s="441"/>
      <c r="AF68" s="442"/>
      <c r="AG68" s="385"/>
      <c r="AH68" s="348"/>
    </row>
    <row r="69" spans="1:34">
      <c r="A69" s="117"/>
      <c r="B69" s="352"/>
      <c r="C69" s="367"/>
      <c r="D69" s="367"/>
      <c r="E69" s="368"/>
      <c r="F69" s="369"/>
      <c r="G69" s="368"/>
      <c r="H69" s="353"/>
      <c r="I69" s="353"/>
      <c r="J69" s="353"/>
      <c r="K69" s="353"/>
      <c r="L69" s="353"/>
      <c r="M69" s="353"/>
      <c r="N69" s="353"/>
      <c r="O69" s="353"/>
      <c r="P69" s="353"/>
      <c r="Q69" s="353"/>
      <c r="R69" s="353"/>
      <c r="S69" s="353"/>
      <c r="T69" s="381"/>
      <c r="U69" s="353"/>
      <c r="V69" s="386"/>
      <c r="W69" s="386"/>
      <c r="X69" s="440"/>
      <c r="Y69" s="441"/>
      <c r="Z69" s="441"/>
      <c r="AA69" s="441"/>
      <c r="AB69" s="441"/>
      <c r="AC69" s="441"/>
      <c r="AD69" s="441"/>
      <c r="AE69" s="441"/>
      <c r="AF69" s="442"/>
      <c r="AG69" s="385"/>
      <c r="AH69" s="348"/>
    </row>
    <row r="70" spans="1:34">
      <c r="A70" s="117"/>
      <c r="B70" s="352"/>
      <c r="C70" s="367"/>
      <c r="D70" s="367"/>
      <c r="E70" s="368"/>
      <c r="F70" s="369"/>
      <c r="G70" s="368"/>
      <c r="H70" s="353"/>
      <c r="I70" s="353"/>
      <c r="J70" s="353"/>
      <c r="K70" s="353"/>
      <c r="L70" s="353"/>
      <c r="M70" s="353"/>
      <c r="N70" s="353"/>
      <c r="O70" s="353"/>
      <c r="P70" s="353"/>
      <c r="Q70" s="353"/>
      <c r="R70" s="353"/>
      <c r="S70" s="353"/>
      <c r="T70" s="381"/>
      <c r="U70" s="353"/>
      <c r="V70" s="386"/>
      <c r="W70" s="386"/>
      <c r="X70" s="440"/>
      <c r="Y70" s="441"/>
      <c r="Z70" s="441"/>
      <c r="AA70" s="441"/>
      <c r="AB70" s="441"/>
      <c r="AC70" s="441"/>
      <c r="AD70" s="441"/>
      <c r="AE70" s="441"/>
      <c r="AF70" s="442"/>
      <c r="AG70" s="385"/>
      <c r="AH70" s="348"/>
    </row>
    <row r="71" spans="1:34">
      <c r="A71" s="117"/>
      <c r="B71" s="352"/>
      <c r="C71" s="367"/>
      <c r="D71" s="367"/>
      <c r="E71" s="368"/>
      <c r="F71" s="369"/>
      <c r="G71" s="368"/>
      <c r="H71" s="353"/>
      <c r="I71" s="353"/>
      <c r="J71" s="353"/>
      <c r="K71" s="353"/>
      <c r="L71" s="353"/>
      <c r="M71" s="353"/>
      <c r="N71" s="353"/>
      <c r="O71" s="353"/>
      <c r="P71" s="353"/>
      <c r="Q71" s="353"/>
      <c r="R71" s="353"/>
      <c r="S71" s="353"/>
      <c r="T71" s="381"/>
      <c r="U71" s="353"/>
      <c r="V71" s="386"/>
      <c r="W71" s="386"/>
      <c r="X71" s="440"/>
      <c r="Y71" s="441"/>
      <c r="Z71" s="441"/>
      <c r="AA71" s="441"/>
      <c r="AB71" s="441"/>
      <c r="AC71" s="441"/>
      <c r="AD71" s="441"/>
      <c r="AE71" s="441"/>
      <c r="AF71" s="442"/>
      <c r="AG71" s="385"/>
      <c r="AH71" s="348"/>
    </row>
    <row r="72" spans="1:34">
      <c r="A72" s="117"/>
      <c r="B72" s="352"/>
      <c r="C72" s="367"/>
      <c r="D72" s="367"/>
      <c r="E72" s="368"/>
      <c r="F72" s="369"/>
      <c r="G72" s="368"/>
      <c r="H72" s="353"/>
      <c r="I72" s="353"/>
      <c r="J72" s="353"/>
      <c r="K72" s="353"/>
      <c r="L72" s="353"/>
      <c r="M72" s="353"/>
      <c r="N72" s="353"/>
      <c r="O72" s="353"/>
      <c r="P72" s="353"/>
      <c r="Q72" s="353"/>
      <c r="R72" s="353"/>
      <c r="S72" s="353"/>
      <c r="T72" s="381"/>
      <c r="U72" s="353"/>
      <c r="V72" s="386"/>
      <c r="W72" s="386"/>
      <c r="X72" s="440"/>
      <c r="Y72" s="441"/>
      <c r="Z72" s="441"/>
      <c r="AA72" s="441"/>
      <c r="AB72" s="441"/>
      <c r="AC72" s="441"/>
      <c r="AD72" s="441"/>
      <c r="AE72" s="441"/>
      <c r="AF72" s="442"/>
      <c r="AG72" s="385"/>
      <c r="AH72" s="348"/>
    </row>
    <row r="73" spans="1:34">
      <c r="A73" s="117"/>
      <c r="B73" s="352"/>
      <c r="C73" s="367"/>
      <c r="D73" s="367"/>
      <c r="E73" s="368"/>
      <c r="F73" s="369"/>
      <c r="G73" s="368"/>
      <c r="H73" s="353"/>
      <c r="I73" s="353"/>
      <c r="J73" s="353"/>
      <c r="K73" s="353"/>
      <c r="L73" s="353"/>
      <c r="M73" s="353"/>
      <c r="N73" s="353"/>
      <c r="O73" s="353"/>
      <c r="P73" s="353"/>
      <c r="Q73" s="353"/>
      <c r="R73" s="353"/>
      <c r="S73" s="353"/>
      <c r="T73" s="381"/>
      <c r="U73" s="353"/>
      <c r="V73" s="386"/>
      <c r="W73" s="386"/>
      <c r="X73" s="440"/>
      <c r="Y73" s="441"/>
      <c r="Z73" s="441"/>
      <c r="AA73" s="441"/>
      <c r="AB73" s="441"/>
      <c r="AC73" s="441"/>
      <c r="AD73" s="441"/>
      <c r="AE73" s="441"/>
      <c r="AF73" s="442"/>
      <c r="AG73" s="385"/>
      <c r="AH73" s="348"/>
    </row>
    <row r="74" spans="1:34">
      <c r="A74" s="117"/>
      <c r="B74" s="352"/>
      <c r="C74" s="353"/>
      <c r="D74" s="353"/>
      <c r="E74" s="353"/>
      <c r="F74" s="353"/>
      <c r="G74" s="353"/>
      <c r="H74" s="353"/>
      <c r="I74" s="353"/>
      <c r="J74" s="353"/>
      <c r="K74" s="353"/>
      <c r="L74" s="353"/>
      <c r="M74" s="353"/>
      <c r="N74" s="353"/>
      <c r="O74" s="353"/>
      <c r="P74" s="353"/>
      <c r="Q74" s="353"/>
      <c r="R74" s="353"/>
      <c r="S74" s="353"/>
      <c r="T74" s="381"/>
      <c r="U74" s="353"/>
      <c r="V74" s="386"/>
      <c r="W74" s="386"/>
      <c r="X74" s="440"/>
      <c r="Y74" s="441"/>
      <c r="Z74" s="441"/>
      <c r="AA74" s="441"/>
      <c r="AB74" s="441"/>
      <c r="AC74" s="441"/>
      <c r="AD74" s="441"/>
      <c r="AE74" s="441"/>
      <c r="AF74" s="442"/>
      <c r="AG74" s="385"/>
      <c r="AH74" s="348"/>
    </row>
    <row r="75" spans="1:34">
      <c r="A75" s="117"/>
      <c r="B75" s="352"/>
      <c r="C75" s="353"/>
      <c r="D75" s="353"/>
      <c r="E75" s="353"/>
      <c r="F75" s="353"/>
      <c r="G75" s="353"/>
      <c r="H75" s="353"/>
      <c r="I75" s="353"/>
      <c r="J75" s="353"/>
      <c r="K75" s="353"/>
      <c r="L75" s="353"/>
      <c r="M75" s="353"/>
      <c r="N75" s="353"/>
      <c r="O75" s="353"/>
      <c r="P75" s="353"/>
      <c r="Q75" s="353"/>
      <c r="R75" s="353"/>
      <c r="S75" s="353"/>
      <c r="T75" s="381"/>
      <c r="U75" s="353"/>
      <c r="V75" s="353"/>
      <c r="W75" s="353"/>
      <c r="X75" s="443"/>
      <c r="Y75" s="444"/>
      <c r="Z75" s="444"/>
      <c r="AA75" s="444"/>
      <c r="AB75" s="444"/>
      <c r="AC75" s="444"/>
      <c r="AD75" s="444"/>
      <c r="AE75" s="444"/>
      <c r="AF75" s="445"/>
      <c r="AG75" s="354"/>
      <c r="AH75" s="117"/>
    </row>
    <row r="76" spans="1:34">
      <c r="A76" s="117"/>
      <c r="B76" s="352"/>
      <c r="C76" s="353"/>
      <c r="D76" s="353"/>
      <c r="E76" s="353"/>
      <c r="F76" s="353"/>
      <c r="G76" s="353"/>
      <c r="H76" s="353"/>
      <c r="I76" s="353"/>
      <c r="J76" s="353"/>
      <c r="K76" s="353"/>
      <c r="L76" s="353"/>
      <c r="M76" s="353"/>
      <c r="N76" s="353"/>
      <c r="O76" s="353"/>
      <c r="P76" s="353"/>
      <c r="Q76" s="353"/>
      <c r="R76" s="353"/>
      <c r="S76" s="353"/>
      <c r="T76" s="381"/>
      <c r="U76" s="353"/>
      <c r="V76" s="353"/>
      <c r="W76" s="353"/>
      <c r="X76" s="384"/>
      <c r="Y76" s="384"/>
      <c r="Z76" s="384"/>
      <c r="AA76" s="384"/>
      <c r="AB76" s="384"/>
      <c r="AC76" s="384"/>
      <c r="AD76" s="384"/>
      <c r="AE76" s="384"/>
      <c r="AF76" s="384"/>
      <c r="AG76" s="354"/>
      <c r="AH76" s="117"/>
    </row>
    <row r="77" spans="1:34">
      <c r="A77" s="117"/>
      <c r="B77" s="355"/>
      <c r="C77" s="356"/>
      <c r="D77" s="356"/>
      <c r="E77" s="356"/>
      <c r="F77" s="356"/>
      <c r="G77" s="356"/>
      <c r="H77" s="356"/>
      <c r="I77" s="356"/>
      <c r="J77" s="356"/>
      <c r="K77" s="356"/>
      <c r="L77" s="356"/>
      <c r="M77" s="356"/>
      <c r="N77" s="356"/>
      <c r="O77" s="356"/>
      <c r="P77" s="356"/>
      <c r="Q77" s="356"/>
      <c r="R77" s="356"/>
      <c r="S77" s="356"/>
      <c r="T77" s="356"/>
      <c r="U77" s="356"/>
      <c r="V77" s="356"/>
      <c r="W77" s="356"/>
      <c r="X77" s="356"/>
      <c r="Y77" s="356"/>
      <c r="Z77" s="356"/>
      <c r="AA77" s="356"/>
      <c r="AB77" s="356"/>
      <c r="AC77" s="356"/>
      <c r="AD77" s="356"/>
      <c r="AE77" s="356"/>
      <c r="AF77" s="356"/>
      <c r="AG77" s="357"/>
      <c r="AH77" s="117"/>
    </row>
    <row r="78" spans="1:34">
      <c r="A78" s="117"/>
      <c r="B78" s="348"/>
      <c r="C78" s="117"/>
      <c r="D78" s="117"/>
      <c r="E78" s="348"/>
      <c r="F78" s="348"/>
      <c r="G78" s="117"/>
      <c r="H78" s="117"/>
      <c r="I78" s="117"/>
      <c r="J78" s="117"/>
      <c r="K78" s="117"/>
      <c r="L78" s="117"/>
      <c r="M78" s="117"/>
      <c r="N78" s="117"/>
      <c r="O78" s="117"/>
      <c r="P78" s="348"/>
      <c r="Q78" s="117"/>
      <c r="R78" s="117"/>
      <c r="S78" s="117"/>
      <c r="T78" s="117"/>
      <c r="U78" s="117"/>
      <c r="V78" s="117"/>
      <c r="W78" s="117"/>
      <c r="X78" s="117"/>
      <c r="Y78" s="117"/>
      <c r="Z78" s="117"/>
      <c r="AA78" s="117"/>
      <c r="AB78" s="348"/>
      <c r="AC78" s="117"/>
      <c r="AD78" s="117"/>
      <c r="AE78" s="117"/>
      <c r="AF78" s="117"/>
      <c r="AG78" s="348"/>
      <c r="AH78" s="117"/>
    </row>
    <row r="79" spans="1:34">
      <c r="A79" s="117"/>
      <c r="B79" s="348"/>
      <c r="C79" s="117"/>
      <c r="D79" s="117"/>
      <c r="E79" s="348"/>
      <c r="F79" s="348"/>
      <c r="G79" s="117"/>
      <c r="H79" s="117"/>
      <c r="I79" s="117"/>
      <c r="J79" s="117"/>
      <c r="K79" s="117"/>
      <c r="L79" s="117"/>
      <c r="M79" s="117"/>
      <c r="N79" s="117"/>
      <c r="O79" s="117"/>
      <c r="P79" s="348"/>
      <c r="Q79" s="117"/>
      <c r="R79" s="117"/>
      <c r="S79" s="117"/>
      <c r="T79" s="117"/>
      <c r="U79" s="117"/>
      <c r="V79" s="117"/>
      <c r="W79" s="117"/>
      <c r="X79" s="117"/>
      <c r="Y79" s="117"/>
      <c r="Z79" s="117"/>
      <c r="AA79" s="117"/>
      <c r="AB79" s="348"/>
      <c r="AC79" s="117"/>
      <c r="AD79" s="117"/>
      <c r="AE79" s="117"/>
      <c r="AF79" s="117"/>
      <c r="AG79" s="348"/>
      <c r="AH79" s="117"/>
    </row>
    <row r="80" spans="1:34">
      <c r="A80" s="117"/>
      <c r="B80" s="348"/>
      <c r="C80" s="117"/>
      <c r="D80" s="117"/>
      <c r="E80" s="348"/>
      <c r="F80" s="348"/>
      <c r="G80" s="117"/>
      <c r="H80" s="117"/>
      <c r="I80" s="117"/>
      <c r="J80" s="117"/>
      <c r="K80" s="117"/>
      <c r="L80" s="117"/>
      <c r="M80" s="117"/>
      <c r="N80" s="117"/>
      <c r="O80" s="117"/>
      <c r="P80" s="348"/>
      <c r="Q80" s="117"/>
      <c r="R80" s="117"/>
      <c r="S80" s="117"/>
      <c r="T80" s="117"/>
      <c r="U80" s="117"/>
      <c r="V80" s="117"/>
      <c r="W80" s="117"/>
      <c r="X80" s="117"/>
      <c r="Y80" s="117"/>
      <c r="Z80" s="117"/>
      <c r="AA80" s="117"/>
      <c r="AB80" s="348"/>
      <c r="AC80" s="117"/>
      <c r="AD80" s="117"/>
      <c r="AE80" s="117"/>
      <c r="AF80" s="117"/>
      <c r="AG80" s="348"/>
      <c r="AH80" s="117"/>
    </row>
    <row r="81" spans="1:34">
      <c r="A81" s="117"/>
      <c r="B81" s="348"/>
      <c r="C81" s="117"/>
      <c r="D81" s="117"/>
      <c r="E81" s="348"/>
      <c r="F81" s="348"/>
      <c r="G81" s="117"/>
      <c r="H81" s="117"/>
      <c r="I81" s="117"/>
      <c r="J81" s="117"/>
      <c r="K81" s="117"/>
      <c r="L81" s="117"/>
      <c r="M81" s="117"/>
      <c r="N81" s="117"/>
      <c r="O81" s="117"/>
      <c r="P81" s="348"/>
      <c r="Q81" s="117"/>
      <c r="R81" s="117"/>
      <c r="S81" s="117"/>
      <c r="T81" s="117"/>
      <c r="U81" s="117"/>
      <c r="V81" s="117"/>
      <c r="W81" s="117"/>
      <c r="X81" s="117"/>
      <c r="Y81" s="117"/>
      <c r="Z81" s="117"/>
      <c r="AA81" s="117"/>
      <c r="AB81" s="348"/>
      <c r="AC81" s="117"/>
      <c r="AD81" s="117"/>
      <c r="AE81" s="117"/>
      <c r="AF81" s="117"/>
      <c r="AG81" s="348"/>
      <c r="AH81" s="117"/>
    </row>
    <row r="82" spans="1:34" ht="22.2">
      <c r="A82" s="117"/>
      <c r="B82" s="127" t="s">
        <v>2026</v>
      </c>
      <c r="C82" s="117"/>
      <c r="D82" s="117"/>
      <c r="E82" s="117"/>
      <c r="F82" s="117"/>
      <c r="G82" s="129" t="s">
        <v>34</v>
      </c>
      <c r="H82" s="129" t="s">
        <v>54</v>
      </c>
      <c r="I82" s="129" t="s">
        <v>181</v>
      </c>
      <c r="J82" s="129" t="s">
        <v>311</v>
      </c>
      <c r="K82" s="129" t="s">
        <v>26</v>
      </c>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4.9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c r="A84" s="117"/>
      <c r="B84" s="119"/>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1"/>
      <c r="AH84" s="117"/>
    </row>
    <row r="85" spans="1:34">
      <c r="A85" s="117"/>
      <c r="B85" s="122"/>
      <c r="C85" s="155" t="s">
        <v>607</v>
      </c>
      <c r="G85" s="155" t="s">
        <v>608</v>
      </c>
      <c r="P85" s="130" t="s">
        <v>609</v>
      </c>
      <c r="Q85" s="131"/>
      <c r="R85" s="130"/>
      <c r="S85" s="131"/>
      <c r="T85" s="132">
        <v>45659</v>
      </c>
      <c r="U85" s="132">
        <f>T85+8</f>
        <v>45667</v>
      </c>
      <c r="V85" s="133" t="s">
        <v>610</v>
      </c>
      <c r="X85" s="156" t="s">
        <v>611</v>
      </c>
      <c r="AG85" s="123"/>
      <c r="AH85" s="117"/>
    </row>
    <row r="86" spans="1:34" ht="17.7" customHeight="1">
      <c r="A86" s="117"/>
      <c r="B86" s="122"/>
      <c r="P86" s="26" t="s">
        <v>612</v>
      </c>
      <c r="T86" s="26">
        <f>COUNTIFS('2. Status Detalhe Campos'!$H$7:$H$574,'1. Status Resumo'!$P86,'2. Status Detalhe Campos'!$C$7:$C$574,'1. Status Resumo'!$G$82,'2. Status Detalhe Campos'!$D$7:$D$574,"2. Campo")+COUNTIFS('2. Status Detalhe Campos'!$H$7:$H$574,'1. Status Resumo'!$P86,'2. Status Detalhe Campos'!$C$7:$C$574,'1. Status Resumo'!$H$82,'2. Status Detalhe Campos'!$D$7:$D$574,"2. Campo")</f>
        <v>10</v>
      </c>
      <c r="U86" s="26">
        <f>COUNTIFS('2. Status Detalhe Campos'!$G$7:$G$574,'1. Status Resumo'!$P86,'2. Status Detalhe Campos'!$C$7:$C$574,'1. Status Resumo'!$G$82,'2. Status Detalhe Campos'!$D$7:$D$574,"2. Campo")+COUNTIFS('2. Status Detalhe Campos'!$G$7:$G$574,'1. Status Resumo'!$P86,'2. Status Detalhe Campos'!$C$7:$C$574,'1. Status Resumo'!$H$82,'2. Status Detalhe Campos'!$D$7:$D$574,"2. Campo")</f>
        <v>10</v>
      </c>
      <c r="V86" s="26">
        <f>U86-T86</f>
        <v>0</v>
      </c>
      <c r="X86" s="417" t="s">
        <v>2060</v>
      </c>
      <c r="Y86" s="418"/>
      <c r="Z86" s="418"/>
      <c r="AA86" s="418"/>
      <c r="AB86" s="418"/>
      <c r="AC86" s="418"/>
      <c r="AD86" s="418"/>
      <c r="AE86" s="418"/>
      <c r="AF86" s="419"/>
      <c r="AG86" s="164"/>
      <c r="AH86" s="117"/>
    </row>
    <row r="87" spans="1:34">
      <c r="A87" s="117"/>
      <c r="B87" s="122"/>
      <c r="P87" s="26" t="s">
        <v>613</v>
      </c>
      <c r="T87" s="26">
        <f>COUNTIFS('2. Status Detalhe Campos'!$H$7:$H$574,'1. Status Resumo'!$P87,'2. Status Detalhe Campos'!$C$7:$C$574,'1. Status Resumo'!$G$82,'2. Status Detalhe Campos'!$D$7:$D$574,"2. Campo")+COUNTIFS('2. Status Detalhe Campos'!$H$7:$H$574,'1. Status Resumo'!$P87,'2. Status Detalhe Campos'!$C$7:$C$574,'1. Status Resumo'!$H$82,'2. Status Detalhe Campos'!$D$7:$D$574,"2. Campo")</f>
        <v>146</v>
      </c>
      <c r="U87" s="26">
        <f>COUNTIFS('2. Status Detalhe Campos'!$G$7:$G$574,'1. Status Resumo'!$P87,'2. Status Detalhe Campos'!$C$7:$C$574,'1. Status Resumo'!$G$82,'2. Status Detalhe Campos'!$D$7:$D$574,"2. Campo")+COUNTIFS('2. Status Detalhe Campos'!$G$7:$G$574,'1. Status Resumo'!$P87,'2. Status Detalhe Campos'!$C$7:$C$574,'1. Status Resumo'!$H$82,'2. Status Detalhe Campos'!$D$7:$D$574,"2. Campo")</f>
        <v>147</v>
      </c>
      <c r="V87" s="26">
        <f t="shared" ref="V87:V94" si="2">U87-T87</f>
        <v>1</v>
      </c>
      <c r="X87" s="420"/>
      <c r="Y87" s="421"/>
      <c r="Z87" s="421"/>
      <c r="AA87" s="421"/>
      <c r="AB87" s="421"/>
      <c r="AC87" s="421"/>
      <c r="AD87" s="421"/>
      <c r="AE87" s="421"/>
      <c r="AF87" s="422"/>
      <c r="AG87" s="164"/>
      <c r="AH87" s="117"/>
    </row>
    <row r="88" spans="1:34">
      <c r="A88" s="117"/>
      <c r="B88" s="122"/>
      <c r="P88" s="26" t="s">
        <v>1921</v>
      </c>
      <c r="T88" s="26">
        <f>COUNTIFS('2. Status Detalhe Campos'!$H$7:$H$574,'1. Status Resumo'!$P88,'2. Status Detalhe Campos'!$C$7:$C$574,'1. Status Resumo'!$G$82,'2. Status Detalhe Campos'!$D$7:$D$574,"2. Campo")+COUNTIFS('2. Status Detalhe Campos'!$H$7:$H$574,'1. Status Resumo'!$P88,'2. Status Detalhe Campos'!$C$7:$C$574,'1. Status Resumo'!$H$82,'2. Status Detalhe Campos'!$D$7:$D$574,"2. Campo")</f>
        <v>1</v>
      </c>
      <c r="U88" s="26">
        <f>COUNTIFS('2. Status Detalhe Campos'!$G$7:$G$574,'1. Status Resumo'!$P88,'2. Status Detalhe Campos'!$C$7:$C$574,'1. Status Resumo'!$G$82,'2. Status Detalhe Campos'!$D$7:$D$574,"2. Campo")+COUNTIFS('2. Status Detalhe Campos'!$G$7:$G$574,'1. Status Resumo'!$P88,'2. Status Detalhe Campos'!$C$7:$C$574,'1. Status Resumo'!$H$82,'2. Status Detalhe Campos'!$D$7:$D$574,"2. Campo")</f>
        <v>0</v>
      </c>
      <c r="V88" s="26">
        <f t="shared" si="2"/>
        <v>-1</v>
      </c>
      <c r="X88" s="420"/>
      <c r="Y88" s="421"/>
      <c r="Z88" s="421"/>
      <c r="AA88" s="421"/>
      <c r="AB88" s="421"/>
      <c r="AC88" s="421"/>
      <c r="AD88" s="421"/>
      <c r="AE88" s="421"/>
      <c r="AF88" s="422"/>
      <c r="AG88" s="164"/>
      <c r="AH88" s="117"/>
    </row>
    <row r="89" spans="1:34">
      <c r="A89" s="117"/>
      <c r="B89" s="122"/>
      <c r="D89" s="398" t="str">
        <f>"# "&amp;U95</f>
        <v># 169</v>
      </c>
      <c r="E89" s="398"/>
      <c r="P89" s="26" t="s">
        <v>1922</v>
      </c>
      <c r="T89" s="26">
        <f>COUNTIFS('2. Status Detalhe Campos'!$H$7:$H$574,'1. Status Resumo'!$P89,'2. Status Detalhe Campos'!$C$7:$C$574,'1. Status Resumo'!$G$82,'2. Status Detalhe Campos'!$D$7:$D$574,"2. Campo")+COUNTIFS('2. Status Detalhe Campos'!$H$7:$H$574,'1. Status Resumo'!$P89,'2. Status Detalhe Campos'!$C$7:$C$574,'1. Status Resumo'!$H$82,'2. Status Detalhe Campos'!$D$7:$D$574,"2. Campo")</f>
        <v>0</v>
      </c>
      <c r="U89" s="26">
        <f>COUNTIFS('2. Status Detalhe Campos'!$G$7:$G$574,'1. Status Resumo'!$P89,'2. Status Detalhe Campos'!$C$7:$C$574,'1. Status Resumo'!$G$82,'2. Status Detalhe Campos'!$D$7:$D$574,"2. Campo")+COUNTIFS('2. Status Detalhe Campos'!$G$7:$G$574,'1. Status Resumo'!$P89,'2. Status Detalhe Campos'!$C$7:$C$574,'1. Status Resumo'!$H$82,'2. Status Detalhe Campos'!$D$7:$D$574,"2. Campo")</f>
        <v>0</v>
      </c>
      <c r="V89" s="26">
        <f>U89-T89</f>
        <v>0</v>
      </c>
      <c r="X89" s="420"/>
      <c r="Y89" s="421"/>
      <c r="Z89" s="421"/>
      <c r="AA89" s="421"/>
      <c r="AB89" s="421"/>
      <c r="AC89" s="421"/>
      <c r="AD89" s="421"/>
      <c r="AE89" s="421"/>
      <c r="AF89" s="422"/>
      <c r="AG89" s="164"/>
      <c r="AH89" s="117"/>
    </row>
    <row r="90" spans="1:34" ht="17.7" customHeight="1">
      <c r="A90" s="117"/>
      <c r="B90" s="122"/>
      <c r="D90" s="398"/>
      <c r="E90" s="398"/>
      <c r="P90" s="26" t="s">
        <v>614</v>
      </c>
      <c r="T90" s="26">
        <f>COUNTIFS('2. Status Detalhe Campos'!$H$7:$H$574,'1. Status Resumo'!$P90,'2. Status Detalhe Campos'!$C$7:$C$574,'1. Status Resumo'!$G$82,'2. Status Detalhe Campos'!$D$7:$D$574,"2. Campo")+COUNTIFS('2. Status Detalhe Campos'!$H$7:$H$574,'1. Status Resumo'!$P90,'2. Status Detalhe Campos'!$C$7:$C$574,'1. Status Resumo'!$H$82,'2. Status Detalhe Campos'!$D$7:$D$574,"2. Campo")</f>
        <v>0</v>
      </c>
      <c r="U90" s="26">
        <f>COUNTIFS('2. Status Detalhe Campos'!$G$7:$G$574,'1. Status Resumo'!$P90,'2. Status Detalhe Campos'!$C$7:$C$574,'1. Status Resumo'!$G$82,'2. Status Detalhe Campos'!$D$7:$D$574,"2. Campo")+COUNTIFS('2. Status Detalhe Campos'!$G$7:$G$574,'1. Status Resumo'!$P90,'2. Status Detalhe Campos'!$C$7:$C$574,'1. Status Resumo'!$H$82,'2. Status Detalhe Campos'!$D$7:$D$574,"2. Campo")</f>
        <v>0</v>
      </c>
      <c r="V90" s="26">
        <f t="shared" si="2"/>
        <v>0</v>
      </c>
      <c r="X90" s="420"/>
      <c r="Y90" s="421"/>
      <c r="Z90" s="421"/>
      <c r="AA90" s="421"/>
      <c r="AB90" s="421"/>
      <c r="AC90" s="421"/>
      <c r="AD90" s="421"/>
      <c r="AE90" s="421"/>
      <c r="AF90" s="422"/>
      <c r="AG90" s="164"/>
      <c r="AH90" s="117"/>
    </row>
    <row r="91" spans="1:34" ht="17.7" customHeight="1">
      <c r="A91" s="117"/>
      <c r="B91" s="122"/>
      <c r="D91" s="398"/>
      <c r="E91" s="398"/>
      <c r="P91" s="26" t="s">
        <v>615</v>
      </c>
      <c r="T91" s="26">
        <f>COUNTIFS('2. Status Detalhe Campos'!$H$7:$H$574,'1. Status Resumo'!$P91,'2. Status Detalhe Campos'!$C$7:$C$574,'1. Status Resumo'!$G$82,'2. Status Detalhe Campos'!$D$7:$D$574,"2. Campo")+COUNTIFS('2. Status Detalhe Campos'!$H$7:$H$574,'1. Status Resumo'!$P91,'2. Status Detalhe Campos'!$C$7:$C$574,'1. Status Resumo'!$H$82,'2. Status Detalhe Campos'!$D$7:$D$574,"2. Campo")</f>
        <v>0</v>
      </c>
      <c r="U91" s="26">
        <f>COUNTIFS('2. Status Detalhe Campos'!$G$7:$G$574,'1. Status Resumo'!$P91,'2. Status Detalhe Campos'!$C$7:$C$574,'1. Status Resumo'!$G$82,'2. Status Detalhe Campos'!$D$7:$D$574,"2. Campo")+COUNTIFS('2. Status Detalhe Campos'!$G$7:$G$574,'1. Status Resumo'!$P91,'2. Status Detalhe Campos'!$C$7:$C$574,'1. Status Resumo'!$H$82,'2. Status Detalhe Campos'!$D$7:$D$574,"2. Campo")</f>
        <v>12</v>
      </c>
      <c r="V91" s="26">
        <f t="shared" si="2"/>
        <v>12</v>
      </c>
      <c r="X91" s="420"/>
      <c r="Y91" s="421"/>
      <c r="Z91" s="421"/>
      <c r="AA91" s="421"/>
      <c r="AB91" s="421"/>
      <c r="AC91" s="421"/>
      <c r="AD91" s="421"/>
      <c r="AE91" s="421"/>
      <c r="AF91" s="422"/>
      <c r="AG91" s="164"/>
      <c r="AH91" s="117"/>
    </row>
    <row r="92" spans="1:34">
      <c r="A92" s="117"/>
      <c r="B92" s="122"/>
      <c r="P92" s="26" t="s">
        <v>616</v>
      </c>
      <c r="R92" s="26" t="s">
        <v>617</v>
      </c>
      <c r="T92" s="26">
        <f>COUNTIFS('2. Status Detalhe Campos'!$H$7:$H$574,'1. Status Resumo'!$P92,'2. Status Detalhe Campos'!$C$7:$C$574,'1. Status Resumo'!$G$82,'2. Status Detalhe Campos'!$D$7:$D$574,"2. Campo")+COUNTIFS('2. Status Detalhe Campos'!$H$7:$H$574,'1. Status Resumo'!$P92,'2. Status Detalhe Campos'!$C$7:$C$574,'1. Status Resumo'!$H$82,'2. Status Detalhe Campos'!$D$7:$D$574,"2. Campo")</f>
        <v>0</v>
      </c>
      <c r="U92" s="26">
        <f>COUNTIFS('2. Status Detalhe Campos'!$G$7:$G$574,'1. Status Resumo'!$P92,'2. Status Detalhe Campos'!$C$7:$C$574,'1. Status Resumo'!$G$82,'2. Status Detalhe Campos'!$D$7:$D$574,"2. Campo")+COUNTIFS('2. Status Detalhe Campos'!$G$7:$G$574,'1. Status Resumo'!$P92,'2. Status Detalhe Campos'!$C$7:$C$574,'1. Status Resumo'!$H$82,'2. Status Detalhe Campos'!$D$7:$D$574,"2. Campo")</f>
        <v>0</v>
      </c>
      <c r="V92" s="26">
        <f t="shared" si="2"/>
        <v>0</v>
      </c>
      <c r="X92" s="420"/>
      <c r="Y92" s="421"/>
      <c r="Z92" s="421"/>
      <c r="AA92" s="421"/>
      <c r="AB92" s="421"/>
      <c r="AC92" s="421"/>
      <c r="AD92" s="421"/>
      <c r="AE92" s="421"/>
      <c r="AF92" s="422"/>
      <c r="AG92" s="164"/>
      <c r="AH92" s="117"/>
    </row>
    <row r="93" spans="1:34">
      <c r="A93" s="117"/>
      <c r="B93" s="122"/>
      <c r="P93" s="26" t="s">
        <v>618</v>
      </c>
      <c r="T93" s="26">
        <f>COUNTIFS('2. Status Detalhe Campos'!$H$7:$H$574,'1. Status Resumo'!$P93,'2. Status Detalhe Campos'!$C$7:$C$574,'1. Status Resumo'!$G$82,'2. Status Detalhe Campos'!$D$7:$D$574,"2. Campo")+COUNTIFS('2. Status Detalhe Campos'!$H$7:$H$574,'1. Status Resumo'!$P93,'2. Status Detalhe Campos'!$C$7:$C$574,'1. Status Resumo'!$H$82,'2. Status Detalhe Campos'!$D$7:$D$574,"2. Campo")</f>
        <v>12</v>
      </c>
      <c r="U93" s="26">
        <f>COUNTIFS('2. Status Detalhe Campos'!$G$7:$G$574,'1. Status Resumo'!$P93,'2. Status Detalhe Campos'!$C$7:$C$574,'1. Status Resumo'!$G$82,'2. Status Detalhe Campos'!$D$7:$D$574,"2. Campo")+COUNTIFS('2. Status Detalhe Campos'!$G$7:$G$574,'1. Status Resumo'!$P93,'2. Status Detalhe Campos'!$C$7:$C$574,'1. Status Resumo'!$H$82,'2. Status Detalhe Campos'!$D$7:$D$574,"2. Campo")</f>
        <v>0</v>
      </c>
      <c r="V93" s="26">
        <f t="shared" si="2"/>
        <v>-12</v>
      </c>
      <c r="X93" s="420"/>
      <c r="Y93" s="421"/>
      <c r="Z93" s="421"/>
      <c r="AA93" s="421"/>
      <c r="AB93" s="421"/>
      <c r="AC93" s="421"/>
      <c r="AD93" s="421"/>
      <c r="AE93" s="421"/>
      <c r="AF93" s="422"/>
      <c r="AG93" s="164"/>
      <c r="AH93" s="117"/>
    </row>
    <row r="94" spans="1:34">
      <c r="A94" s="117"/>
      <c r="B94" s="122"/>
      <c r="P94" s="26" t="s">
        <v>28</v>
      </c>
      <c r="T94" s="26">
        <f>COUNTIFS('2. Status Detalhe Campos'!$H$7:$H$574,'1. Status Resumo'!$P94,'2. Status Detalhe Campos'!$C$7:$C$574,'1. Status Resumo'!$G$82,'2. Status Detalhe Campos'!$D$7:$D$574,"2. Campo")+COUNTIFS('2. Status Detalhe Campos'!$H$7:$H$574,'1. Status Resumo'!$P94,'2. Status Detalhe Campos'!$C$7:$C$574,'1. Status Resumo'!$H$82,'2. Status Detalhe Campos'!$D$7:$D$574,"2. Campo")</f>
        <v>0</v>
      </c>
      <c r="U94" s="26">
        <f>COUNTIFS('2. Status Detalhe Campos'!$G$7:$G$574,'1. Status Resumo'!$P94,'2. Status Detalhe Campos'!$C$7:$C$574,'1. Status Resumo'!$G$82,'2. Status Detalhe Campos'!$D$7:$D$574,"2. Campo")+COUNTIFS('2. Status Detalhe Campos'!$G$7:$G$574,'1. Status Resumo'!$P94,'2. Status Detalhe Campos'!$C$7:$C$574,'1. Status Resumo'!$H$82,'2. Status Detalhe Campos'!$D$7:$D$574,"2. Campo")</f>
        <v>0</v>
      </c>
      <c r="V94" s="26">
        <f t="shared" si="2"/>
        <v>0</v>
      </c>
      <c r="X94" s="420"/>
      <c r="Y94" s="421"/>
      <c r="Z94" s="421"/>
      <c r="AA94" s="421"/>
      <c r="AB94" s="421"/>
      <c r="AC94" s="421"/>
      <c r="AD94" s="421"/>
      <c r="AE94" s="421"/>
      <c r="AF94" s="422"/>
      <c r="AG94" s="164"/>
      <c r="AH94" s="117"/>
    </row>
    <row r="95" spans="1:34">
      <c r="A95" s="117"/>
      <c r="B95" s="122"/>
      <c r="T95" s="128">
        <f>SUM(T86:T94)</f>
        <v>169</v>
      </c>
      <c r="U95" s="128">
        <f>SUM(U86:U94)</f>
        <v>169</v>
      </c>
      <c r="X95" s="420"/>
      <c r="Y95" s="421"/>
      <c r="Z95" s="421"/>
      <c r="AA95" s="421"/>
      <c r="AB95" s="421"/>
      <c r="AC95" s="421"/>
      <c r="AD95" s="421"/>
      <c r="AE95" s="421"/>
      <c r="AF95" s="422"/>
      <c r="AG95" s="164"/>
      <c r="AH95" s="117"/>
    </row>
    <row r="96" spans="1:34">
      <c r="A96" s="117"/>
      <c r="B96" s="122"/>
      <c r="G96" s="130" t="s">
        <v>619</v>
      </c>
      <c r="H96" s="131"/>
      <c r="I96" s="131"/>
      <c r="J96" s="131"/>
      <c r="K96" s="131"/>
      <c r="L96" s="131"/>
      <c r="M96" s="131"/>
      <c r="P96" s="130" t="s">
        <v>620</v>
      </c>
      <c r="Q96" s="131"/>
      <c r="R96" s="131"/>
      <c r="S96" s="131"/>
      <c r="T96" s="131"/>
      <c r="U96" s="131"/>
      <c r="V96" s="131"/>
      <c r="X96" s="420"/>
      <c r="Y96" s="421"/>
      <c r="Z96" s="421"/>
      <c r="AA96" s="421"/>
      <c r="AB96" s="421"/>
      <c r="AC96" s="421"/>
      <c r="AD96" s="421"/>
      <c r="AE96" s="421"/>
      <c r="AF96" s="422"/>
      <c r="AG96" s="164"/>
      <c r="AH96" s="117"/>
    </row>
    <row r="97" spans="1:34">
      <c r="A97" s="117"/>
      <c r="B97" s="122"/>
      <c r="F97" s="160" t="s">
        <v>621</v>
      </c>
      <c r="G97" s="26" t="s">
        <v>622</v>
      </c>
      <c r="L97" s="162" t="s">
        <v>623</v>
      </c>
      <c r="O97" s="160" t="s">
        <v>621</v>
      </c>
      <c r="P97" s="26" t="s">
        <v>624</v>
      </c>
      <c r="T97" s="162" t="s">
        <v>623</v>
      </c>
      <c r="X97" s="420"/>
      <c r="Y97" s="421"/>
      <c r="Z97" s="421"/>
      <c r="AA97" s="421"/>
      <c r="AB97" s="421"/>
      <c r="AC97" s="421"/>
      <c r="AD97" s="421"/>
      <c r="AE97" s="421"/>
      <c r="AF97" s="422"/>
      <c r="AG97" s="164"/>
      <c r="AH97" s="117"/>
    </row>
    <row r="98" spans="1:34">
      <c r="A98" s="117"/>
      <c r="B98" s="122"/>
      <c r="F98" s="160" t="s">
        <v>621</v>
      </c>
      <c r="G98" s="26" t="s">
        <v>625</v>
      </c>
      <c r="L98" s="162" t="s">
        <v>623</v>
      </c>
      <c r="O98" s="160" t="s">
        <v>621</v>
      </c>
      <c r="P98" s="26" t="s">
        <v>626</v>
      </c>
      <c r="T98" s="162" t="s">
        <v>623</v>
      </c>
      <c r="X98" s="420"/>
      <c r="Y98" s="421"/>
      <c r="Z98" s="421"/>
      <c r="AA98" s="421"/>
      <c r="AB98" s="421"/>
      <c r="AC98" s="421"/>
      <c r="AD98" s="421"/>
      <c r="AE98" s="421"/>
      <c r="AF98" s="422"/>
      <c r="AG98" s="164"/>
      <c r="AH98" s="117"/>
    </row>
    <row r="99" spans="1:34">
      <c r="A99" s="117"/>
      <c r="B99" s="122"/>
      <c r="F99" s="160" t="s">
        <v>621</v>
      </c>
      <c r="G99" s="26" t="s">
        <v>627</v>
      </c>
      <c r="L99" s="162" t="s">
        <v>623</v>
      </c>
      <c r="O99" s="160" t="s">
        <v>621</v>
      </c>
      <c r="P99" s="26" t="s">
        <v>628</v>
      </c>
      <c r="T99" s="165" t="s">
        <v>629</v>
      </c>
      <c r="X99" s="420"/>
      <c r="Y99" s="421"/>
      <c r="Z99" s="421"/>
      <c r="AA99" s="421"/>
      <c r="AB99" s="421"/>
      <c r="AC99" s="421"/>
      <c r="AD99" s="421"/>
      <c r="AE99" s="421"/>
      <c r="AF99" s="422"/>
      <c r="AG99" s="164"/>
      <c r="AH99" s="117"/>
    </row>
    <row r="100" spans="1:34">
      <c r="A100" s="117"/>
      <c r="B100" s="122"/>
      <c r="F100" s="160" t="s">
        <v>621</v>
      </c>
      <c r="G100" s="26" t="s">
        <v>630</v>
      </c>
      <c r="L100" s="162" t="s">
        <v>623</v>
      </c>
      <c r="O100" s="160"/>
      <c r="T100" s="165"/>
      <c r="X100" s="420"/>
      <c r="Y100" s="421"/>
      <c r="Z100" s="421"/>
      <c r="AA100" s="421"/>
      <c r="AB100" s="421"/>
      <c r="AC100" s="421"/>
      <c r="AD100" s="421"/>
      <c r="AE100" s="421"/>
      <c r="AF100" s="422"/>
      <c r="AG100" s="164"/>
      <c r="AH100" s="117"/>
    </row>
    <row r="101" spans="1:34">
      <c r="A101" s="117"/>
      <c r="B101" s="122"/>
      <c r="F101" s="160" t="s">
        <v>621</v>
      </c>
      <c r="G101" s="26" t="s">
        <v>631</v>
      </c>
      <c r="L101" s="254" t="s">
        <v>2003</v>
      </c>
      <c r="O101" s="160"/>
      <c r="T101" s="165"/>
      <c r="X101" s="420"/>
      <c r="Y101" s="421"/>
      <c r="Z101" s="421"/>
      <c r="AA101" s="421"/>
      <c r="AB101" s="421"/>
      <c r="AC101" s="421"/>
      <c r="AD101" s="421"/>
      <c r="AE101" s="421"/>
      <c r="AF101" s="422"/>
      <c r="AG101" s="164"/>
      <c r="AH101" s="117"/>
    </row>
    <row r="102" spans="1:34">
      <c r="A102" s="117"/>
      <c r="B102" s="122"/>
      <c r="F102" s="160" t="s">
        <v>621</v>
      </c>
      <c r="G102" s="26" t="s">
        <v>632</v>
      </c>
      <c r="L102" s="162" t="s">
        <v>623</v>
      </c>
      <c r="O102" s="160"/>
      <c r="T102" s="162"/>
      <c r="X102" s="420"/>
      <c r="Y102" s="421"/>
      <c r="Z102" s="421"/>
      <c r="AA102" s="421"/>
      <c r="AB102" s="421"/>
      <c r="AC102" s="421"/>
      <c r="AD102" s="421"/>
      <c r="AE102" s="421"/>
      <c r="AF102" s="422"/>
      <c r="AG102" s="164"/>
      <c r="AH102" s="117"/>
    </row>
    <row r="103" spans="1:34">
      <c r="A103" s="117"/>
      <c r="B103" s="122"/>
      <c r="O103" s="160"/>
      <c r="X103" s="423"/>
      <c r="Y103" s="424"/>
      <c r="Z103" s="424"/>
      <c r="AA103" s="424"/>
      <c r="AB103" s="424"/>
      <c r="AC103" s="424"/>
      <c r="AD103" s="424"/>
      <c r="AE103" s="424"/>
      <c r="AF103" s="425"/>
      <c r="AG103" s="164"/>
      <c r="AH103" s="117"/>
    </row>
    <row r="104" spans="1:34">
      <c r="A104" s="117"/>
      <c r="B104" s="124"/>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c r="AF104" s="125"/>
      <c r="AG104" s="125"/>
      <c r="AH104" s="117"/>
    </row>
    <row r="105" spans="1:34">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22.2">
      <c r="A106" s="117"/>
      <c r="B106" s="127" t="s">
        <v>2024</v>
      </c>
      <c r="C106" s="117"/>
      <c r="D106" s="117"/>
      <c r="E106" s="117"/>
      <c r="F106" s="117"/>
      <c r="G106" s="129" t="s">
        <v>181</v>
      </c>
      <c r="H106" s="129" t="s">
        <v>311</v>
      </c>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4.9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c r="A108" s="117"/>
      <c r="B108" s="119"/>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1"/>
      <c r="AH108" s="117"/>
    </row>
    <row r="109" spans="1:34">
      <c r="A109" s="117"/>
      <c r="B109" s="122"/>
      <c r="C109" s="155" t="s">
        <v>607</v>
      </c>
      <c r="G109" s="155" t="s">
        <v>608</v>
      </c>
      <c r="P109" s="130" t="s">
        <v>609</v>
      </c>
      <c r="Q109" s="131"/>
      <c r="R109" s="130"/>
      <c r="S109" s="131"/>
      <c r="T109" s="132">
        <f>T85</f>
        <v>45659</v>
      </c>
      <c r="U109" s="132">
        <f>U85</f>
        <v>45667</v>
      </c>
      <c r="V109" s="133" t="s">
        <v>610</v>
      </c>
      <c r="X109" s="156" t="s">
        <v>611</v>
      </c>
      <c r="AG109" s="123"/>
      <c r="AH109" s="117"/>
    </row>
    <row r="110" spans="1:34" ht="17.7" customHeight="1">
      <c r="A110" s="117"/>
      <c r="B110" s="122"/>
      <c r="P110" s="26" t="s">
        <v>612</v>
      </c>
      <c r="T110" s="26">
        <f>COUNTIFS('2. Status Detalhe Campos'!$H$7:$H$574,'1. Status Resumo'!$P110,'2. Status Detalhe Campos'!$C$7:$C$574,'1. Status Resumo'!$G$106,'2. Status Detalhe Campos'!$D$7:$D$574,"2. Campo")+COUNTIFS('2. Status Detalhe Campos'!$H$7:$H$574,'1. Status Resumo'!$P110,'2. Status Detalhe Campos'!$C$7:$C$574,'1. Status Resumo'!$H$106,'2. Status Detalhe Campos'!$D$7:$D$574,"2. Campo")</f>
        <v>14</v>
      </c>
      <c r="U110" s="26">
        <f>COUNTIFS('2. Status Detalhe Campos'!$G$7:$G$574,'1. Status Resumo'!$P110,'2. Status Detalhe Campos'!$C$7:$C$574,'1. Status Resumo'!$G$106,'2. Status Detalhe Campos'!$D$7:$D$574,"2. Campo")+COUNTIFS('2. Status Detalhe Campos'!$G$7:$G$574,'1. Status Resumo'!$P110,'2. Status Detalhe Campos'!$C$7:$C$574,'1. Status Resumo'!$H$106,'2. Status Detalhe Campos'!$D$7:$D$574,"2. Campo")</f>
        <v>14</v>
      </c>
      <c r="V110" s="26">
        <f>U110-T110</f>
        <v>0</v>
      </c>
      <c r="W110" s="157"/>
      <c r="X110" s="408" t="s">
        <v>2063</v>
      </c>
      <c r="Y110" s="409"/>
      <c r="Z110" s="409"/>
      <c r="AA110" s="409"/>
      <c r="AB110" s="409"/>
      <c r="AC110" s="409"/>
      <c r="AD110" s="409"/>
      <c r="AE110" s="409"/>
      <c r="AF110" s="410"/>
      <c r="AG110" s="158" t="s">
        <v>633</v>
      </c>
      <c r="AH110" s="117"/>
    </row>
    <row r="111" spans="1:34">
      <c r="A111" s="117"/>
      <c r="B111" s="122"/>
      <c r="P111" s="26" t="s">
        <v>613</v>
      </c>
      <c r="T111" s="26">
        <f>COUNTIFS('2. Status Detalhe Campos'!$H$7:$H$574,'1. Status Resumo'!$P111,'2. Status Detalhe Campos'!$C$7:$C$574,'1. Status Resumo'!$G$106,'2. Status Detalhe Campos'!$D$7:$D$574,"2. Campo")+COUNTIFS('2. Status Detalhe Campos'!$H$7:$H$574,'1. Status Resumo'!$P111,'2. Status Detalhe Campos'!$C$7:$C$574,'1. Status Resumo'!$H$106,'2. Status Detalhe Campos'!$D$7:$D$574,"2. Campo")</f>
        <v>209</v>
      </c>
      <c r="U111" s="26">
        <f>COUNTIFS('2. Status Detalhe Campos'!$G$7:$G$574,'1. Status Resumo'!$P111,'2. Status Detalhe Campos'!$C$7:$C$574,'1. Status Resumo'!$G$106,'2. Status Detalhe Campos'!$D$7:$D$574,"2. Campo")+COUNTIFS('2. Status Detalhe Campos'!$G$7:$G$574,'1. Status Resumo'!$P111,'2. Status Detalhe Campos'!$C$7:$C$574,'1. Status Resumo'!$H$106,'2. Status Detalhe Campos'!$D$7:$D$574,"2. Campo")</f>
        <v>204</v>
      </c>
      <c r="V111" s="26">
        <f t="shared" ref="V111:V118" si="3">U111-T111</f>
        <v>-5</v>
      </c>
      <c r="W111" s="157"/>
      <c r="X111" s="411"/>
      <c r="Y111" s="412"/>
      <c r="Z111" s="412"/>
      <c r="AA111" s="412"/>
      <c r="AB111" s="412"/>
      <c r="AC111" s="412"/>
      <c r="AD111" s="412"/>
      <c r="AE111" s="412"/>
      <c r="AF111" s="413"/>
      <c r="AG111" s="158"/>
      <c r="AH111" s="117"/>
    </row>
    <row r="112" spans="1:34">
      <c r="A112" s="117"/>
      <c r="B112" s="122"/>
      <c r="P112" s="26" t="s">
        <v>1921</v>
      </c>
      <c r="T112" s="26">
        <f>COUNTIFS('2. Status Detalhe Campos'!$H$7:$H$574,'1. Status Resumo'!$P112,'2. Status Detalhe Campos'!$C$7:$C$574,'1. Status Resumo'!$G$106,'2. Status Detalhe Campos'!$D$7:$D$574,"2. Campo")+COUNTIFS('2. Status Detalhe Campos'!$H$7:$H$574,'1. Status Resumo'!$P112,'2. Status Detalhe Campos'!$C$7:$C$574,'1. Status Resumo'!$H$106,'2. Status Detalhe Campos'!$D$7:$D$574,"2. Campo")</f>
        <v>16</v>
      </c>
      <c r="U112" s="26">
        <f>COUNTIFS('2. Status Detalhe Campos'!$G$7:$G$574,'1. Status Resumo'!$P112,'2. Status Detalhe Campos'!$C$7:$C$574,'1. Status Resumo'!$G$106,'2. Status Detalhe Campos'!$D$7:$D$574,"2. Campo")+COUNTIFS('2. Status Detalhe Campos'!$G$7:$G$574,'1. Status Resumo'!$P112,'2. Status Detalhe Campos'!$C$7:$C$574,'1. Status Resumo'!$H$106,'2. Status Detalhe Campos'!$D$7:$D$574,"2. Campo")</f>
        <v>3</v>
      </c>
      <c r="V112" s="26">
        <f t="shared" si="3"/>
        <v>-13</v>
      </c>
      <c r="W112" s="157"/>
      <c r="X112" s="411"/>
      <c r="Y112" s="412"/>
      <c r="Z112" s="412"/>
      <c r="AA112" s="412"/>
      <c r="AB112" s="412"/>
      <c r="AC112" s="412"/>
      <c r="AD112" s="412"/>
      <c r="AE112" s="412"/>
      <c r="AF112" s="413"/>
      <c r="AG112" s="158"/>
      <c r="AH112" s="117"/>
    </row>
    <row r="113" spans="1:34">
      <c r="A113" s="117"/>
      <c r="B113" s="122"/>
      <c r="D113" s="398" t="str">
        <f>"# "&amp;U119</f>
        <v># 245</v>
      </c>
      <c r="E113" s="398"/>
      <c r="P113" s="26" t="s">
        <v>1922</v>
      </c>
      <c r="T113" s="26">
        <f>COUNTIFS('2. Status Detalhe Campos'!$H$7:$H$574,'1. Status Resumo'!$P113,'2. Status Detalhe Campos'!$C$7:$C$574,'1. Status Resumo'!$G$106,'2. Status Detalhe Campos'!$D$7:$D$574,"2. Campo")+COUNTIFS('2. Status Detalhe Campos'!$H$7:$H$574,'1. Status Resumo'!$P113,'2. Status Detalhe Campos'!$C$7:$C$574,'1. Status Resumo'!$H$106,'2. Status Detalhe Campos'!$D$7:$D$574,"2. Campo")</f>
        <v>0</v>
      </c>
      <c r="U113" s="26">
        <f>COUNTIFS('2. Status Detalhe Campos'!$G$7:$G$574,'1. Status Resumo'!$P113,'2. Status Detalhe Campos'!$C$7:$C$574,'1. Status Resumo'!$G$106,'2. Status Detalhe Campos'!$D$7:$D$574,"2. Campo")+COUNTIFS('2. Status Detalhe Campos'!$G$7:$G$574,'1. Status Resumo'!$P113,'2. Status Detalhe Campos'!$C$7:$C$574,'1. Status Resumo'!$H$106,'2. Status Detalhe Campos'!$D$7:$D$574,"2. Campo")</f>
        <v>17</v>
      </c>
      <c r="V113" s="26">
        <f>U113-T113</f>
        <v>17</v>
      </c>
      <c r="W113" s="157"/>
      <c r="X113" s="411"/>
      <c r="Y113" s="412"/>
      <c r="Z113" s="412"/>
      <c r="AA113" s="412"/>
      <c r="AB113" s="412"/>
      <c r="AC113" s="412"/>
      <c r="AD113" s="412"/>
      <c r="AE113" s="412"/>
      <c r="AF113" s="413"/>
      <c r="AG113" s="158"/>
      <c r="AH113" s="117"/>
    </row>
    <row r="114" spans="1:34" ht="17.7" customHeight="1">
      <c r="A114" s="117"/>
      <c r="B114" s="122"/>
      <c r="D114" s="398"/>
      <c r="E114" s="398"/>
      <c r="P114" s="26" t="s">
        <v>614</v>
      </c>
      <c r="T114" s="26">
        <f>COUNTIFS('2. Status Detalhe Campos'!$H$7:$H$574,'1. Status Resumo'!$P114,'2. Status Detalhe Campos'!$C$7:$C$574,'1. Status Resumo'!$G$106,'2. Status Detalhe Campos'!$D$7:$D$574,"2. Campo")+COUNTIFS('2. Status Detalhe Campos'!$H$7:$H$574,'1. Status Resumo'!$P114,'2. Status Detalhe Campos'!$C$7:$C$574,'1. Status Resumo'!$H$106,'2. Status Detalhe Campos'!$D$7:$D$574,"2. Campo")</f>
        <v>0</v>
      </c>
      <c r="U114" s="26">
        <f>COUNTIFS('2. Status Detalhe Campos'!$G$7:$G$574,'1. Status Resumo'!$P114,'2. Status Detalhe Campos'!$C$7:$C$574,'1. Status Resumo'!$G$106,'2. Status Detalhe Campos'!$D$7:$D$574,"2. Campo")+COUNTIFS('2. Status Detalhe Campos'!$G$7:$G$574,'1. Status Resumo'!$P114,'2. Status Detalhe Campos'!$C$7:$C$574,'1. Status Resumo'!$H$106,'2. Status Detalhe Campos'!$D$7:$D$574,"2. Campo")</f>
        <v>0</v>
      </c>
      <c r="V114" s="26">
        <f t="shared" si="3"/>
        <v>0</v>
      </c>
      <c r="W114" s="157"/>
      <c r="X114" s="411"/>
      <c r="Y114" s="412"/>
      <c r="Z114" s="412"/>
      <c r="AA114" s="412"/>
      <c r="AB114" s="412"/>
      <c r="AC114" s="412"/>
      <c r="AD114" s="412"/>
      <c r="AE114" s="412"/>
      <c r="AF114" s="413"/>
      <c r="AG114" s="158"/>
      <c r="AH114" s="117"/>
    </row>
    <row r="115" spans="1:34" ht="17.7" customHeight="1">
      <c r="A115" s="117"/>
      <c r="B115" s="122"/>
      <c r="D115" s="398"/>
      <c r="E115" s="398"/>
      <c r="P115" s="26" t="s">
        <v>615</v>
      </c>
      <c r="T115" s="26">
        <f>COUNTIFS('2. Status Detalhe Campos'!$H$7:$H$574,'1. Status Resumo'!$P115,'2. Status Detalhe Campos'!$C$7:$C$574,'1. Status Resumo'!$G$106,'2. Status Detalhe Campos'!$D$7:$D$574,"2. Campo")+COUNTIFS('2. Status Detalhe Campos'!$H$7:$H$574,'1. Status Resumo'!$P115,'2. Status Detalhe Campos'!$C$7:$C$574,'1. Status Resumo'!$H$106,'2. Status Detalhe Campos'!$D$7:$D$574,"2. Campo")</f>
        <v>1</v>
      </c>
      <c r="U115" s="26">
        <f>COUNTIFS('2. Status Detalhe Campos'!$G$7:$G$574,'1. Status Resumo'!$P115,'2. Status Detalhe Campos'!$C$7:$C$574,'1. Status Resumo'!$G$106,'2. Status Detalhe Campos'!$D$7:$D$574,"2. Campo")+COUNTIFS('2. Status Detalhe Campos'!$G$7:$G$574,'1. Status Resumo'!$P115,'2. Status Detalhe Campos'!$C$7:$C$574,'1. Status Resumo'!$H$106,'2. Status Detalhe Campos'!$D$7:$D$574,"2. Campo")</f>
        <v>1</v>
      </c>
      <c r="V115" s="26">
        <f t="shared" si="3"/>
        <v>0</v>
      </c>
      <c r="W115" s="157"/>
      <c r="X115" s="411"/>
      <c r="Y115" s="412"/>
      <c r="Z115" s="412"/>
      <c r="AA115" s="412"/>
      <c r="AB115" s="412"/>
      <c r="AC115" s="412"/>
      <c r="AD115" s="412"/>
      <c r="AE115" s="412"/>
      <c r="AF115" s="413"/>
      <c r="AG115" s="158"/>
      <c r="AH115" s="117"/>
    </row>
    <row r="116" spans="1:34" ht="17.7" customHeight="1">
      <c r="A116" s="117"/>
      <c r="B116" s="122"/>
      <c r="P116" s="26" t="s">
        <v>616</v>
      </c>
      <c r="R116" s="26" t="s">
        <v>617</v>
      </c>
      <c r="T116" s="26">
        <f>COUNTIFS('2. Status Detalhe Campos'!$H$7:$H$574,'1. Status Resumo'!$P116,'2. Status Detalhe Campos'!$C$7:$C$574,'1. Status Resumo'!$G$106,'2. Status Detalhe Campos'!$D$7:$D$574,"2. Campo")+COUNTIFS('2. Status Detalhe Campos'!$H$7:$H$574,'1. Status Resumo'!$P116,'2. Status Detalhe Campos'!$C$7:$C$574,'1. Status Resumo'!$H$106,'2. Status Detalhe Campos'!$D$7:$D$574,"2. Campo")</f>
        <v>0</v>
      </c>
      <c r="U116" s="26">
        <f>COUNTIFS('2. Status Detalhe Campos'!$G$7:$G$574,'1. Status Resumo'!$P116,'2. Status Detalhe Campos'!$C$7:$C$574,'1. Status Resumo'!$G$106,'2. Status Detalhe Campos'!$D$7:$D$574,"2. Campo")+COUNTIFS('2. Status Detalhe Campos'!$G$7:$G$574,'1. Status Resumo'!$P116,'2. Status Detalhe Campos'!$C$7:$C$574,'1. Status Resumo'!$H$106,'2. Status Detalhe Campos'!$D$7:$D$574,"2. Campo")</f>
        <v>0</v>
      </c>
      <c r="V116" s="26">
        <f t="shared" si="3"/>
        <v>0</v>
      </c>
      <c r="W116" s="157"/>
      <c r="X116" s="411"/>
      <c r="Y116" s="412"/>
      <c r="Z116" s="412"/>
      <c r="AA116" s="412"/>
      <c r="AB116" s="412"/>
      <c r="AC116" s="412"/>
      <c r="AD116" s="412"/>
      <c r="AE116" s="412"/>
      <c r="AF116" s="413"/>
      <c r="AG116" s="158"/>
      <c r="AH116" s="117"/>
    </row>
    <row r="117" spans="1:34">
      <c r="A117" s="117"/>
      <c r="B117" s="122"/>
      <c r="P117" s="26" t="s">
        <v>618</v>
      </c>
      <c r="T117" s="26">
        <f>COUNTIFS('2. Status Detalhe Campos'!$H$7:$H$574,'1. Status Resumo'!$P117,'2. Status Detalhe Campos'!$C$7:$C$574,'1. Status Resumo'!$G$106,'2. Status Detalhe Campos'!$D$7:$D$574,"2. Campo")+COUNTIFS('2. Status Detalhe Campos'!$H$7:$H$574,'1. Status Resumo'!$P117,'2. Status Detalhe Campos'!$C$7:$C$574,'1. Status Resumo'!$H$106,'2. Status Detalhe Campos'!$D$7:$D$574,"2. Campo")</f>
        <v>5</v>
      </c>
      <c r="U117" s="26">
        <f>COUNTIFS('2. Status Detalhe Campos'!$G$7:$G$574,'1. Status Resumo'!$P117,'2. Status Detalhe Campos'!$C$7:$C$574,'1. Status Resumo'!$G$106,'2. Status Detalhe Campos'!$D$7:$D$574,"2. Campo")+COUNTIFS('2. Status Detalhe Campos'!$G$7:$G$574,'1. Status Resumo'!$P117,'2. Status Detalhe Campos'!$C$7:$C$574,'1. Status Resumo'!$H$106,'2. Status Detalhe Campos'!$D$7:$D$574,"2. Campo")</f>
        <v>6</v>
      </c>
      <c r="V117" s="26">
        <f t="shared" si="3"/>
        <v>1</v>
      </c>
      <c r="X117" s="411"/>
      <c r="Y117" s="412"/>
      <c r="Z117" s="412"/>
      <c r="AA117" s="412"/>
      <c r="AB117" s="412"/>
      <c r="AC117" s="412"/>
      <c r="AD117" s="412"/>
      <c r="AE117" s="412"/>
      <c r="AF117" s="413"/>
      <c r="AG117" s="158"/>
      <c r="AH117" s="117"/>
    </row>
    <row r="118" spans="1:34">
      <c r="A118" s="117"/>
      <c r="B118" s="122"/>
      <c r="P118" s="26" t="s">
        <v>28</v>
      </c>
      <c r="T118" s="26">
        <f>COUNTIFS('2. Status Detalhe Campos'!$H$7:$H$574,'1. Status Resumo'!$P118,'2. Status Detalhe Campos'!$C$7:$C$574,'1. Status Resumo'!$G$106,'2. Status Detalhe Campos'!$D$7:$D$574,"2. Campo")+COUNTIFS('2. Status Detalhe Campos'!$H$7:$H$574,'1. Status Resumo'!$P118,'2. Status Detalhe Campos'!$C$7:$C$574,'1. Status Resumo'!$H$106,'2. Status Detalhe Campos'!$D$7:$D$574,"2. Campo")</f>
        <v>0</v>
      </c>
      <c r="U118" s="26">
        <f>COUNTIFS('2. Status Detalhe Campos'!$G$7:$G$574,'1. Status Resumo'!$P118,'2. Status Detalhe Campos'!$C$7:$C$574,'1. Status Resumo'!$G$106,'2. Status Detalhe Campos'!$D$7:$D$574,"2. Campo")+COUNTIFS('2. Status Detalhe Campos'!$G$7:$G$574,'1. Status Resumo'!$P118,'2. Status Detalhe Campos'!$C$7:$C$574,'1. Status Resumo'!$H$106,'2. Status Detalhe Campos'!$D$7:$D$574,"2. Campo")</f>
        <v>0</v>
      </c>
      <c r="V118" s="26">
        <f t="shared" si="3"/>
        <v>0</v>
      </c>
      <c r="X118" s="411"/>
      <c r="Y118" s="412"/>
      <c r="Z118" s="412"/>
      <c r="AA118" s="412"/>
      <c r="AB118" s="412"/>
      <c r="AC118" s="412"/>
      <c r="AD118" s="412"/>
      <c r="AE118" s="412"/>
      <c r="AF118" s="413"/>
      <c r="AG118" s="158"/>
      <c r="AH118" s="117"/>
    </row>
    <row r="119" spans="1:34">
      <c r="A119" s="117"/>
      <c r="B119" s="122"/>
      <c r="T119" s="128">
        <f>SUM(T110:T118)</f>
        <v>245</v>
      </c>
      <c r="U119" s="128">
        <f>SUM(U110:U118)</f>
        <v>245</v>
      </c>
      <c r="X119" s="411"/>
      <c r="Y119" s="412"/>
      <c r="Z119" s="412"/>
      <c r="AA119" s="412"/>
      <c r="AB119" s="412"/>
      <c r="AC119" s="412"/>
      <c r="AD119" s="412"/>
      <c r="AE119" s="412"/>
      <c r="AF119" s="413"/>
      <c r="AG119" s="158"/>
      <c r="AH119" s="117"/>
    </row>
    <row r="120" spans="1:34">
      <c r="A120" s="117"/>
      <c r="B120" s="122"/>
      <c r="X120" s="411"/>
      <c r="Y120" s="412"/>
      <c r="Z120" s="412"/>
      <c r="AA120" s="412"/>
      <c r="AB120" s="412"/>
      <c r="AC120" s="412"/>
      <c r="AD120" s="412"/>
      <c r="AE120" s="412"/>
      <c r="AF120" s="413"/>
      <c r="AG120" s="158"/>
      <c r="AH120" s="117"/>
    </row>
    <row r="121" spans="1:34">
      <c r="A121" s="117"/>
      <c r="B121" s="122"/>
      <c r="P121" s="130" t="s">
        <v>634</v>
      </c>
      <c r="Q121" s="131"/>
      <c r="R121" s="131"/>
      <c r="S121" s="131"/>
      <c r="T121" s="131"/>
      <c r="U121" s="131"/>
      <c r="V121" s="131"/>
      <c r="X121" s="411"/>
      <c r="Y121" s="412"/>
      <c r="Z121" s="412"/>
      <c r="AA121" s="412"/>
      <c r="AB121" s="412"/>
      <c r="AC121" s="412"/>
      <c r="AD121" s="412"/>
      <c r="AE121" s="412"/>
      <c r="AF121" s="413"/>
      <c r="AG121" s="158"/>
      <c r="AH121" s="117"/>
    </row>
    <row r="122" spans="1:34">
      <c r="A122" s="117"/>
      <c r="B122" s="122"/>
      <c r="O122" s="160" t="s">
        <v>621</v>
      </c>
      <c r="P122" s="26" t="s">
        <v>217</v>
      </c>
      <c r="T122" s="162" t="s">
        <v>623</v>
      </c>
      <c r="X122" s="411"/>
      <c r="Y122" s="412"/>
      <c r="Z122" s="412"/>
      <c r="AA122" s="412"/>
      <c r="AB122" s="412"/>
      <c r="AC122" s="412"/>
      <c r="AD122" s="412"/>
      <c r="AE122" s="412"/>
      <c r="AF122" s="413"/>
      <c r="AG122" s="158"/>
      <c r="AH122" s="117"/>
    </row>
    <row r="123" spans="1:34">
      <c r="A123" s="117"/>
      <c r="B123" s="122"/>
      <c r="O123" s="160" t="s">
        <v>621</v>
      </c>
      <c r="P123" s="26" t="s">
        <v>216</v>
      </c>
      <c r="T123" s="162" t="s">
        <v>623</v>
      </c>
      <c r="X123" s="411"/>
      <c r="Y123" s="412"/>
      <c r="Z123" s="412"/>
      <c r="AA123" s="412"/>
      <c r="AB123" s="412"/>
      <c r="AC123" s="412"/>
      <c r="AD123" s="412"/>
      <c r="AE123" s="412"/>
      <c r="AF123" s="413"/>
      <c r="AG123" s="158"/>
      <c r="AH123" s="117"/>
    </row>
    <row r="124" spans="1:34">
      <c r="A124" s="117"/>
      <c r="B124" s="122"/>
      <c r="O124" s="160" t="s">
        <v>621</v>
      </c>
      <c r="P124" s="26" t="s">
        <v>214</v>
      </c>
      <c r="T124" s="162" t="s">
        <v>623</v>
      </c>
      <c r="X124" s="411"/>
      <c r="Y124" s="412"/>
      <c r="Z124" s="412"/>
      <c r="AA124" s="412"/>
      <c r="AB124" s="412"/>
      <c r="AC124" s="412"/>
      <c r="AD124" s="412"/>
      <c r="AE124" s="412"/>
      <c r="AF124" s="413"/>
      <c r="AG124" s="158"/>
      <c r="AH124" s="117"/>
    </row>
    <row r="125" spans="1:34">
      <c r="A125" s="117"/>
      <c r="B125" s="122"/>
      <c r="O125" s="160" t="s">
        <v>621</v>
      </c>
      <c r="P125" s="26" t="s">
        <v>213</v>
      </c>
      <c r="T125" s="162" t="s">
        <v>623</v>
      </c>
      <c r="X125" s="411"/>
      <c r="Y125" s="412"/>
      <c r="Z125" s="412"/>
      <c r="AA125" s="412"/>
      <c r="AB125" s="412"/>
      <c r="AC125" s="412"/>
      <c r="AD125" s="412"/>
      <c r="AE125" s="412"/>
      <c r="AF125" s="413"/>
      <c r="AG125" s="158"/>
      <c r="AH125" s="117"/>
    </row>
    <row r="126" spans="1:34">
      <c r="A126" s="117"/>
      <c r="B126" s="122"/>
      <c r="O126" s="160" t="s">
        <v>621</v>
      </c>
      <c r="P126" s="26" t="s">
        <v>218</v>
      </c>
      <c r="T126" s="162" t="s">
        <v>623</v>
      </c>
      <c r="X126" s="411"/>
      <c r="Y126" s="412"/>
      <c r="Z126" s="412"/>
      <c r="AA126" s="412"/>
      <c r="AB126" s="412"/>
      <c r="AC126" s="412"/>
      <c r="AD126" s="412"/>
      <c r="AE126" s="412"/>
      <c r="AF126" s="413"/>
      <c r="AG126" s="158"/>
      <c r="AH126" s="117"/>
    </row>
    <row r="127" spans="1:34">
      <c r="A127" s="117"/>
      <c r="B127" s="122"/>
      <c r="O127" s="160" t="s">
        <v>621</v>
      </c>
      <c r="P127" s="26" t="s">
        <v>219</v>
      </c>
      <c r="T127" s="162" t="s">
        <v>623</v>
      </c>
      <c r="X127" s="411"/>
      <c r="Y127" s="412"/>
      <c r="Z127" s="412"/>
      <c r="AA127" s="412"/>
      <c r="AB127" s="412"/>
      <c r="AC127" s="412"/>
      <c r="AD127" s="412"/>
      <c r="AE127" s="412"/>
      <c r="AF127" s="413"/>
      <c r="AG127" s="158"/>
      <c r="AH127" s="117"/>
    </row>
    <row r="128" spans="1:34">
      <c r="A128" s="117"/>
      <c r="B128" s="122"/>
      <c r="O128" s="160" t="s">
        <v>621</v>
      </c>
      <c r="P128" s="26" t="s">
        <v>220</v>
      </c>
      <c r="T128" s="162" t="s">
        <v>623</v>
      </c>
      <c r="X128" s="411"/>
      <c r="Y128" s="412"/>
      <c r="Z128" s="412"/>
      <c r="AA128" s="412"/>
      <c r="AB128" s="412"/>
      <c r="AC128" s="412"/>
      <c r="AD128" s="412"/>
      <c r="AE128" s="412"/>
      <c r="AF128" s="413"/>
      <c r="AG128" s="158"/>
      <c r="AH128" s="117"/>
    </row>
    <row r="129" spans="1:34">
      <c r="A129" s="117"/>
      <c r="B129" s="122"/>
      <c r="O129" s="160" t="s">
        <v>621</v>
      </c>
      <c r="P129" s="26" t="s">
        <v>215</v>
      </c>
      <c r="T129" s="162" t="s">
        <v>623</v>
      </c>
      <c r="X129" s="411"/>
      <c r="Y129" s="412"/>
      <c r="Z129" s="412"/>
      <c r="AA129" s="412"/>
      <c r="AB129" s="412"/>
      <c r="AC129" s="412"/>
      <c r="AD129" s="412"/>
      <c r="AE129" s="412"/>
      <c r="AF129" s="413"/>
      <c r="AG129" s="158"/>
      <c r="AH129" s="117"/>
    </row>
    <row r="130" spans="1:34">
      <c r="A130" s="117"/>
      <c r="B130" s="122"/>
      <c r="O130" s="160" t="s">
        <v>621</v>
      </c>
      <c r="P130" s="26" t="s">
        <v>182</v>
      </c>
      <c r="T130" s="254" t="s">
        <v>2003</v>
      </c>
      <c r="X130" s="411"/>
      <c r="Y130" s="412"/>
      <c r="Z130" s="412"/>
      <c r="AA130" s="412"/>
      <c r="AB130" s="412"/>
      <c r="AC130" s="412"/>
      <c r="AD130" s="412"/>
      <c r="AE130" s="412"/>
      <c r="AF130" s="413"/>
      <c r="AG130" s="158"/>
      <c r="AH130" s="117"/>
    </row>
    <row r="131" spans="1:34">
      <c r="A131" s="117"/>
      <c r="B131" s="122"/>
      <c r="O131" s="160" t="s">
        <v>621</v>
      </c>
      <c r="P131" s="177" t="s">
        <v>635</v>
      </c>
      <c r="T131" s="166" t="s">
        <v>636</v>
      </c>
      <c r="X131" s="411"/>
      <c r="Y131" s="412"/>
      <c r="Z131" s="412"/>
      <c r="AA131" s="412"/>
      <c r="AB131" s="412"/>
      <c r="AC131" s="412"/>
      <c r="AD131" s="412"/>
      <c r="AE131" s="412"/>
      <c r="AF131" s="413"/>
      <c r="AG131" s="158"/>
      <c r="AH131" s="117"/>
    </row>
    <row r="132" spans="1:34">
      <c r="A132" s="117"/>
      <c r="B132" s="122"/>
      <c r="P132" s="159"/>
      <c r="X132" s="411"/>
      <c r="Y132" s="412"/>
      <c r="Z132" s="412"/>
      <c r="AA132" s="412"/>
      <c r="AB132" s="412"/>
      <c r="AC132" s="412"/>
      <c r="AD132" s="412"/>
      <c r="AE132" s="412"/>
      <c r="AF132" s="413"/>
      <c r="AG132" s="158"/>
      <c r="AH132" s="117"/>
    </row>
    <row r="133" spans="1:34">
      <c r="A133" s="117"/>
      <c r="B133" s="122"/>
      <c r="P133" s="130" t="s">
        <v>637</v>
      </c>
      <c r="Q133" s="131"/>
      <c r="R133" s="131"/>
      <c r="S133" s="131"/>
      <c r="T133" s="131"/>
      <c r="U133" s="131"/>
      <c r="V133" s="131"/>
      <c r="X133" s="411"/>
      <c r="Y133" s="412"/>
      <c r="Z133" s="412"/>
      <c r="AA133" s="412"/>
      <c r="AB133" s="412"/>
      <c r="AC133" s="412"/>
      <c r="AD133" s="412"/>
      <c r="AE133" s="412"/>
      <c r="AF133" s="413"/>
      <c r="AG133" s="158"/>
      <c r="AH133" s="117"/>
    </row>
    <row r="134" spans="1:34">
      <c r="A134" s="117"/>
      <c r="B134" s="122"/>
      <c r="O134" s="160" t="s">
        <v>621</v>
      </c>
      <c r="P134" s="26" t="s">
        <v>638</v>
      </c>
      <c r="T134" s="162" t="s">
        <v>623</v>
      </c>
      <c r="X134" s="411"/>
      <c r="Y134" s="412"/>
      <c r="Z134" s="412"/>
      <c r="AA134" s="412"/>
      <c r="AB134" s="412"/>
      <c r="AC134" s="412"/>
      <c r="AD134" s="412"/>
      <c r="AE134" s="412"/>
      <c r="AF134" s="413"/>
      <c r="AG134" s="158"/>
      <c r="AH134" s="117"/>
    </row>
    <row r="135" spans="1:34">
      <c r="A135" s="117"/>
      <c r="B135" s="122"/>
      <c r="O135" s="160" t="s">
        <v>621</v>
      </c>
      <c r="P135" s="26" t="s">
        <v>312</v>
      </c>
      <c r="T135" s="162" t="s">
        <v>639</v>
      </c>
      <c r="X135" s="411"/>
      <c r="Y135" s="412"/>
      <c r="Z135" s="412"/>
      <c r="AA135" s="412"/>
      <c r="AB135" s="412"/>
      <c r="AC135" s="412"/>
      <c r="AD135" s="412"/>
      <c r="AE135" s="412"/>
      <c r="AF135" s="413"/>
      <c r="AG135" s="158"/>
      <c r="AH135" s="117"/>
    </row>
    <row r="136" spans="1:34">
      <c r="A136" s="117"/>
      <c r="B136" s="122"/>
      <c r="O136" s="160" t="s">
        <v>621</v>
      </c>
      <c r="P136" s="26" t="s">
        <v>326</v>
      </c>
      <c r="T136" s="162" t="s">
        <v>623</v>
      </c>
      <c r="X136" s="411"/>
      <c r="Y136" s="412"/>
      <c r="Z136" s="412"/>
      <c r="AA136" s="412"/>
      <c r="AB136" s="412"/>
      <c r="AC136" s="412"/>
      <c r="AD136" s="412"/>
      <c r="AE136" s="412"/>
      <c r="AF136" s="413"/>
      <c r="AG136" s="158"/>
      <c r="AH136" s="117"/>
    </row>
    <row r="137" spans="1:34">
      <c r="A137" s="117"/>
      <c r="B137" s="122"/>
      <c r="O137" s="160" t="s">
        <v>621</v>
      </c>
      <c r="P137" s="26" t="s">
        <v>334</v>
      </c>
      <c r="T137" s="388" t="s">
        <v>2059</v>
      </c>
      <c r="X137" s="411"/>
      <c r="Y137" s="412"/>
      <c r="Z137" s="412"/>
      <c r="AA137" s="412"/>
      <c r="AB137" s="412"/>
      <c r="AC137" s="412"/>
      <c r="AD137" s="412"/>
      <c r="AE137" s="412"/>
      <c r="AF137" s="413"/>
      <c r="AG137" s="158"/>
      <c r="AH137" s="117"/>
    </row>
    <row r="138" spans="1:34">
      <c r="A138" s="117"/>
      <c r="B138" s="122"/>
      <c r="O138" s="160"/>
      <c r="T138" s="161"/>
      <c r="X138" s="414"/>
      <c r="Y138" s="415"/>
      <c r="Z138" s="415"/>
      <c r="AA138" s="415"/>
      <c r="AB138" s="415"/>
      <c r="AC138" s="415"/>
      <c r="AD138" s="415"/>
      <c r="AE138" s="415"/>
      <c r="AF138" s="416"/>
      <c r="AG138" s="158"/>
      <c r="AH138" s="117"/>
    </row>
    <row r="139" spans="1:34">
      <c r="A139" s="117"/>
      <c r="B139" s="124"/>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6"/>
      <c r="AH139" s="117"/>
    </row>
    <row r="140" spans="1:34">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22.2">
      <c r="A141" s="117"/>
      <c r="B141" s="127" t="s">
        <v>2025</v>
      </c>
      <c r="C141" s="117"/>
      <c r="D141" s="117"/>
      <c r="E141" s="117"/>
      <c r="F141" s="117"/>
      <c r="G141" s="129" t="s">
        <v>26</v>
      </c>
      <c r="H141" s="129"/>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4.9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c r="A143" s="117"/>
      <c r="B143" s="119"/>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1"/>
      <c r="AH143" s="117"/>
    </row>
    <row r="144" spans="1:34">
      <c r="A144" s="117"/>
      <c r="B144" s="122"/>
      <c r="C144" s="155" t="s">
        <v>607</v>
      </c>
      <c r="G144" s="155" t="s">
        <v>608</v>
      </c>
      <c r="P144" s="130" t="s">
        <v>609</v>
      </c>
      <c r="Q144" s="131"/>
      <c r="R144" s="130"/>
      <c r="S144" s="131"/>
      <c r="T144" s="132">
        <f>T85</f>
        <v>45659</v>
      </c>
      <c r="U144" s="132">
        <f>U85</f>
        <v>45667</v>
      </c>
      <c r="V144" s="133" t="s">
        <v>610</v>
      </c>
      <c r="X144" s="156" t="s">
        <v>611</v>
      </c>
      <c r="AG144" s="123"/>
      <c r="AH144" s="117"/>
    </row>
    <row r="145" spans="1:34" ht="18" customHeight="1">
      <c r="A145" s="117"/>
      <c r="B145" s="122"/>
      <c r="P145" s="26" t="s">
        <v>612</v>
      </c>
      <c r="T145" s="26">
        <f>COUNTIFS(Table4[Status Anterior],'1. Status Resumo'!$P145,Table4[Sub-âmbito],'1. Status Resumo'!$G$141,Table4[Tipo de teste],"2. Campo")</f>
        <v>0</v>
      </c>
      <c r="U145" s="26">
        <f>COUNTIFS(Table4[Status Atual],'1. Status Resumo'!$P145,Table4[Sub-âmbito],'1. Status Resumo'!$G$141,Table4[Tipo de teste],"2. Campo")</f>
        <v>0</v>
      </c>
      <c r="V145" s="26">
        <f>U145-T145</f>
        <v>0</v>
      </c>
      <c r="X145" s="426" t="s">
        <v>2062</v>
      </c>
      <c r="Y145" s="427"/>
      <c r="Z145" s="427"/>
      <c r="AA145" s="427"/>
      <c r="AB145" s="427"/>
      <c r="AC145" s="427"/>
      <c r="AD145" s="427"/>
      <c r="AE145" s="427"/>
      <c r="AF145" s="427"/>
      <c r="AG145" s="163"/>
      <c r="AH145" s="117"/>
    </row>
    <row r="146" spans="1:34">
      <c r="A146" s="117"/>
      <c r="B146" s="122"/>
      <c r="P146" s="26" t="s">
        <v>613</v>
      </c>
      <c r="T146" s="26">
        <f>COUNTIFS(Table4[Status Anterior],'1. Status Resumo'!$P146,Table4[Sub-âmbito],'1. Status Resumo'!$G$141,Table4[Tipo de teste],"2. Campo")</f>
        <v>118</v>
      </c>
      <c r="U146" s="26">
        <f>COUNTIFS(Table4[Status Atual],'1. Status Resumo'!$P146,Table4[Sub-âmbito],'1. Status Resumo'!$G$141,Table4[Tipo de teste],"2. Campo")</f>
        <v>119</v>
      </c>
      <c r="V146" s="26">
        <f t="shared" ref="V146:V153" si="4">U146-T146</f>
        <v>1</v>
      </c>
      <c r="X146" s="427"/>
      <c r="Y146" s="427"/>
      <c r="Z146" s="427"/>
      <c r="AA146" s="427"/>
      <c r="AB146" s="427"/>
      <c r="AC146" s="427"/>
      <c r="AD146" s="427"/>
      <c r="AE146" s="427"/>
      <c r="AF146" s="427"/>
      <c r="AG146" s="163"/>
      <c r="AH146" s="117"/>
    </row>
    <row r="147" spans="1:34">
      <c r="A147" s="117"/>
      <c r="B147" s="122"/>
      <c r="P147" s="26" t="s">
        <v>1921</v>
      </c>
      <c r="T147" s="26">
        <f>COUNTIFS(Table4[Status Anterior],'1. Status Resumo'!$P147,Table4[Sub-âmbito],'1. Status Resumo'!$G$141,Table4[Tipo de teste],"2. Campo")</f>
        <v>9</v>
      </c>
      <c r="U147" s="26">
        <f>COUNTIFS(Table4[Status Atual],'1. Status Resumo'!$P147,Table4[Sub-âmbito],'1. Status Resumo'!$G$141,Table4[Tipo de teste],"2. Campo")</f>
        <v>3</v>
      </c>
      <c r="V147" s="26">
        <f t="shared" si="4"/>
        <v>-6</v>
      </c>
      <c r="X147" s="427"/>
      <c r="Y147" s="427"/>
      <c r="Z147" s="427"/>
      <c r="AA147" s="427"/>
      <c r="AB147" s="427"/>
      <c r="AC147" s="427"/>
      <c r="AD147" s="427"/>
      <c r="AE147" s="427"/>
      <c r="AF147" s="427"/>
      <c r="AG147" s="163"/>
      <c r="AH147" s="117"/>
    </row>
    <row r="148" spans="1:34" ht="17.7" customHeight="1">
      <c r="A148" s="117"/>
      <c r="B148" s="122"/>
      <c r="D148" s="398" t="str">
        <f>"# "&amp;U154</f>
        <v># 135</v>
      </c>
      <c r="E148" s="398"/>
      <c r="P148" s="26" t="s">
        <v>1922</v>
      </c>
      <c r="T148" s="26">
        <f>COUNTIFS(Table4[Status Anterior],'1. Status Resumo'!$P148,Table4[Sub-âmbito],'1. Status Resumo'!$G$141,Table4[Tipo de teste],"2. Campo")</f>
        <v>0</v>
      </c>
      <c r="U148" s="26">
        <f>COUNTIFS(Table4[Status Atual],'1. Status Resumo'!$P148,Table4[Sub-âmbito],'1. Status Resumo'!$G$141,Table4[Tipo de teste],"2. Campo")</f>
        <v>0</v>
      </c>
      <c r="V148" s="26">
        <f>U148-T148</f>
        <v>0</v>
      </c>
      <c r="X148" s="427"/>
      <c r="Y148" s="427"/>
      <c r="Z148" s="427"/>
      <c r="AA148" s="427"/>
      <c r="AB148" s="427"/>
      <c r="AC148" s="427"/>
      <c r="AD148" s="427"/>
      <c r="AE148" s="427"/>
      <c r="AF148" s="427"/>
      <c r="AG148" s="163"/>
      <c r="AH148" s="117"/>
    </row>
    <row r="149" spans="1:34" ht="17.7" customHeight="1">
      <c r="A149" s="117"/>
      <c r="B149" s="122"/>
      <c r="D149" s="398"/>
      <c r="E149" s="398"/>
      <c r="P149" s="26" t="s">
        <v>614</v>
      </c>
      <c r="T149" s="26">
        <f>COUNTIFS(Table4[Status Anterior],'1. Status Resumo'!$P149,Table4[Sub-âmbito],'1. Status Resumo'!$G$141,Table4[Tipo de teste],"2. Campo")</f>
        <v>0</v>
      </c>
      <c r="U149" s="26">
        <f>COUNTIFS(Table4[Status Atual],'1. Status Resumo'!$P149,Table4[Sub-âmbito],'1. Status Resumo'!$G$141,Table4[Tipo de teste],"2. Campo")</f>
        <v>10</v>
      </c>
      <c r="V149" s="26">
        <f t="shared" si="4"/>
        <v>10</v>
      </c>
      <c r="X149" s="427"/>
      <c r="Y149" s="427"/>
      <c r="Z149" s="427"/>
      <c r="AA149" s="427"/>
      <c r="AB149" s="427"/>
      <c r="AC149" s="427"/>
      <c r="AD149" s="427"/>
      <c r="AE149" s="427"/>
      <c r="AF149" s="427"/>
      <c r="AG149" s="163"/>
      <c r="AH149" s="117"/>
    </row>
    <row r="150" spans="1:34" ht="17.7" customHeight="1">
      <c r="A150" s="117"/>
      <c r="B150" s="122"/>
      <c r="D150" s="398"/>
      <c r="E150" s="398"/>
      <c r="P150" s="26" t="s">
        <v>615</v>
      </c>
      <c r="T150" s="26">
        <f>COUNTIFS(Table4[Status Anterior],'1. Status Resumo'!$P150,Table4[Sub-âmbito],'1. Status Resumo'!$G$141,Table4[Tipo de teste],"2. Campo")</f>
        <v>2</v>
      </c>
      <c r="U150" s="26">
        <f>COUNTIFS(Table4[Status Atual],'1. Status Resumo'!$P150,Table4[Sub-âmbito],'1. Status Resumo'!$G$141,Table4[Tipo de teste],"2. Campo")</f>
        <v>2</v>
      </c>
      <c r="V150" s="26">
        <f t="shared" si="4"/>
        <v>0</v>
      </c>
      <c r="X150" s="427"/>
      <c r="Y150" s="427"/>
      <c r="Z150" s="427"/>
      <c r="AA150" s="427"/>
      <c r="AB150" s="427"/>
      <c r="AC150" s="427"/>
      <c r="AD150" s="427"/>
      <c r="AE150" s="427"/>
      <c r="AF150" s="427"/>
      <c r="AG150" s="163"/>
      <c r="AH150" s="117"/>
    </row>
    <row r="151" spans="1:34">
      <c r="A151" s="117"/>
      <c r="B151" s="122"/>
      <c r="D151" s="398"/>
      <c r="E151" s="398"/>
      <c r="P151" s="26" t="s">
        <v>616</v>
      </c>
      <c r="R151" s="26" t="s">
        <v>617</v>
      </c>
      <c r="T151" s="26">
        <f>COUNTIFS(Table4[Status Anterior],'1. Status Resumo'!$P151,Table4[Sub-âmbito],'1. Status Resumo'!$G$141,Table4[Tipo de teste],"2. Campo")</f>
        <v>6</v>
      </c>
      <c r="U151" s="26">
        <f>COUNTIFS(Table4[Status Atual],'1. Status Resumo'!$P151,Table4[Sub-âmbito],'1. Status Resumo'!$G$141,Table4[Tipo de teste],"2. Campo")</f>
        <v>1</v>
      </c>
      <c r="V151" s="26">
        <f t="shared" si="4"/>
        <v>-5</v>
      </c>
      <c r="X151" s="427"/>
      <c r="Y151" s="427"/>
      <c r="Z151" s="427"/>
      <c r="AA151" s="427"/>
      <c r="AB151" s="427"/>
      <c r="AC151" s="427"/>
      <c r="AD151" s="427"/>
      <c r="AE151" s="427"/>
      <c r="AF151" s="427"/>
      <c r="AG151" s="163"/>
      <c r="AH151" s="117"/>
    </row>
    <row r="152" spans="1:34">
      <c r="A152" s="117"/>
      <c r="B152" s="122"/>
      <c r="D152" s="398"/>
      <c r="E152" s="398"/>
      <c r="P152" s="26" t="s">
        <v>618</v>
      </c>
      <c r="T152" s="26">
        <f>COUNTIFS(Table4[Status Anterior],'1. Status Resumo'!$P152,Table4[Sub-âmbito],'1. Status Resumo'!$G$141,Table4[Tipo de teste],"2. Campo")</f>
        <v>0</v>
      </c>
      <c r="U152" s="26">
        <f>COUNTIFS(Table4[Status Atual],'1. Status Resumo'!$P152,Table4[Sub-âmbito],'1. Status Resumo'!$G$141,Table4[Tipo de teste],"2. Campo")</f>
        <v>0</v>
      </c>
      <c r="V152" s="26">
        <f>U152-T152</f>
        <v>0</v>
      </c>
      <c r="X152" s="427"/>
      <c r="Y152" s="427"/>
      <c r="Z152" s="427"/>
      <c r="AA152" s="427"/>
      <c r="AB152" s="427"/>
      <c r="AC152" s="427"/>
      <c r="AD152" s="427"/>
      <c r="AE152" s="427"/>
      <c r="AF152" s="427"/>
      <c r="AG152" s="163"/>
      <c r="AH152" s="117"/>
    </row>
    <row r="153" spans="1:34">
      <c r="A153" s="117"/>
      <c r="B153" s="122"/>
      <c r="P153" s="26" t="s">
        <v>28</v>
      </c>
      <c r="T153" s="26">
        <f>COUNTIFS(Table4[Status Anterior],'1. Status Resumo'!$P153,Table4[Sub-âmbito],'1. Status Resumo'!$G$141,Table4[Tipo de teste],"2. Campo")</f>
        <v>0</v>
      </c>
      <c r="U153" s="26">
        <f>COUNTIFS(Table4[Status Atual],'1. Status Resumo'!$P153,Table4[Sub-âmbito],'1. Status Resumo'!$G$141,Table4[Tipo de teste],"2. Campo")</f>
        <v>0</v>
      </c>
      <c r="V153" s="26">
        <f t="shared" si="4"/>
        <v>0</v>
      </c>
      <c r="X153" s="427"/>
      <c r="Y153" s="427"/>
      <c r="Z153" s="427"/>
      <c r="AA153" s="427"/>
      <c r="AB153" s="427"/>
      <c r="AC153" s="427"/>
      <c r="AD153" s="427"/>
      <c r="AE153" s="427"/>
      <c r="AF153" s="427"/>
      <c r="AG153" s="163"/>
      <c r="AH153" s="117"/>
    </row>
    <row r="154" spans="1:34">
      <c r="A154" s="117"/>
      <c r="B154" s="122"/>
      <c r="T154" s="128">
        <f>SUM(T145:T153)</f>
        <v>135</v>
      </c>
      <c r="U154" s="128">
        <f>SUM(U145:U153)</f>
        <v>135</v>
      </c>
      <c r="X154" s="427"/>
      <c r="Y154" s="427"/>
      <c r="Z154" s="427"/>
      <c r="AA154" s="427"/>
      <c r="AB154" s="427"/>
      <c r="AC154" s="427"/>
      <c r="AD154" s="427"/>
      <c r="AE154" s="427"/>
      <c r="AF154" s="427"/>
      <c r="AG154" s="163"/>
      <c r="AH154" s="117"/>
    </row>
    <row r="155" spans="1:34">
      <c r="A155" s="117"/>
      <c r="B155" s="122"/>
      <c r="T155" s="128"/>
      <c r="U155" s="128"/>
      <c r="X155" s="427"/>
      <c r="Y155" s="427"/>
      <c r="Z155" s="427"/>
      <c r="AA155" s="427"/>
      <c r="AB155" s="427"/>
      <c r="AC155" s="427"/>
      <c r="AD155" s="427"/>
      <c r="AE155" s="427"/>
      <c r="AF155" s="427"/>
      <c r="AG155" s="163"/>
      <c r="AH155" s="117"/>
    </row>
    <row r="156" spans="1:34">
      <c r="A156" s="117"/>
      <c r="B156" s="122"/>
      <c r="P156" s="130" t="s">
        <v>619</v>
      </c>
      <c r="Q156" s="131"/>
      <c r="R156" s="131"/>
      <c r="S156" s="131"/>
      <c r="T156" s="131"/>
      <c r="U156" s="131"/>
      <c r="V156" s="131"/>
      <c r="X156" s="427"/>
      <c r="Y156" s="427"/>
      <c r="Z156" s="427"/>
      <c r="AA156" s="427"/>
      <c r="AB156" s="427"/>
      <c r="AC156" s="427"/>
      <c r="AD156" s="427"/>
      <c r="AE156" s="427"/>
      <c r="AF156" s="427"/>
      <c r="AG156" s="163"/>
      <c r="AH156" s="117"/>
    </row>
    <row r="157" spans="1:34">
      <c r="A157" s="117"/>
      <c r="B157" s="122"/>
      <c r="O157" s="160" t="s">
        <v>621</v>
      </c>
      <c r="P157" s="26" t="s">
        <v>380</v>
      </c>
      <c r="T157" s="206" t="s">
        <v>1923</v>
      </c>
      <c r="X157" s="427"/>
      <c r="Y157" s="427"/>
      <c r="Z157" s="427"/>
      <c r="AA157" s="427"/>
      <c r="AB157" s="427"/>
      <c r="AC157" s="427"/>
      <c r="AD157" s="427"/>
      <c r="AE157" s="427"/>
      <c r="AF157" s="427"/>
      <c r="AG157" s="163"/>
      <c r="AH157" s="117"/>
    </row>
    <row r="158" spans="1:34">
      <c r="A158" s="117"/>
      <c r="B158" s="122"/>
      <c r="O158" s="160" t="s">
        <v>621</v>
      </c>
      <c r="P158" s="26" t="s">
        <v>336</v>
      </c>
      <c r="T158" s="162" t="s">
        <v>2049</v>
      </c>
      <c r="X158" s="427"/>
      <c r="Y158" s="427"/>
      <c r="Z158" s="427"/>
      <c r="AA158" s="427"/>
      <c r="AB158" s="427"/>
      <c r="AC158" s="427"/>
      <c r="AD158" s="427"/>
      <c r="AE158" s="427"/>
      <c r="AF158" s="427"/>
      <c r="AG158" s="163"/>
      <c r="AH158" s="117"/>
    </row>
    <row r="159" spans="1:34">
      <c r="A159" s="117"/>
      <c r="B159" s="122"/>
      <c r="O159" s="160" t="s">
        <v>621</v>
      </c>
      <c r="P159" s="26" t="s">
        <v>369</v>
      </c>
      <c r="T159" s="397" t="s">
        <v>2061</v>
      </c>
      <c r="X159" s="427"/>
      <c r="Y159" s="427"/>
      <c r="Z159" s="427"/>
      <c r="AA159" s="427"/>
      <c r="AB159" s="427"/>
      <c r="AC159" s="427"/>
      <c r="AD159" s="427"/>
      <c r="AE159" s="427"/>
      <c r="AF159" s="427"/>
      <c r="AG159" s="163"/>
      <c r="AH159" s="117"/>
    </row>
    <row r="160" spans="1:34">
      <c r="A160" s="117"/>
      <c r="B160" s="122"/>
      <c r="O160" s="160" t="s">
        <v>621</v>
      </c>
      <c r="P160" s="26" t="s">
        <v>440</v>
      </c>
      <c r="T160" s="162" t="s">
        <v>623</v>
      </c>
      <c r="X160" s="427"/>
      <c r="Y160" s="427"/>
      <c r="Z160" s="427"/>
      <c r="AA160" s="427"/>
      <c r="AB160" s="427"/>
      <c r="AC160" s="427"/>
      <c r="AD160" s="427"/>
      <c r="AE160" s="427"/>
      <c r="AF160" s="427"/>
      <c r="AG160" s="163"/>
      <c r="AH160" s="117"/>
    </row>
    <row r="161" spans="1:34">
      <c r="A161" s="117"/>
      <c r="B161" s="122"/>
      <c r="O161" s="160" t="s">
        <v>621</v>
      </c>
      <c r="P161" s="26" t="s">
        <v>442</v>
      </c>
      <c r="T161" s="162" t="s">
        <v>623</v>
      </c>
      <c r="X161" s="427"/>
      <c r="Y161" s="427"/>
      <c r="Z161" s="427"/>
      <c r="AA161" s="427"/>
      <c r="AB161" s="427"/>
      <c r="AC161" s="427"/>
      <c r="AD161" s="427"/>
      <c r="AE161" s="427"/>
      <c r="AF161" s="427"/>
      <c r="AG161" s="163"/>
      <c r="AH161" s="117"/>
    </row>
    <row r="162" spans="1:34">
      <c r="A162" s="117"/>
      <c r="B162" s="122"/>
      <c r="O162" s="160" t="s">
        <v>621</v>
      </c>
      <c r="P162" s="26" t="s">
        <v>1948</v>
      </c>
      <c r="T162" s="254" t="s">
        <v>2003</v>
      </c>
      <c r="X162" s="427"/>
      <c r="Y162" s="427"/>
      <c r="Z162" s="427"/>
      <c r="AA162" s="427"/>
      <c r="AB162" s="427"/>
      <c r="AC162" s="427"/>
      <c r="AD162" s="427"/>
      <c r="AE162" s="427"/>
      <c r="AF162" s="427"/>
      <c r="AG162" s="163"/>
      <c r="AH162" s="117"/>
    </row>
    <row r="163" spans="1:34">
      <c r="A163" s="117"/>
      <c r="B163" s="122"/>
      <c r="O163" s="160" t="s">
        <v>621</v>
      </c>
      <c r="P163" s="26" t="s">
        <v>1949</v>
      </c>
      <c r="T163" s="162" t="s">
        <v>623</v>
      </c>
      <c r="X163" s="427"/>
      <c r="Y163" s="427"/>
      <c r="Z163" s="427"/>
      <c r="AA163" s="427"/>
      <c r="AB163" s="427"/>
      <c r="AC163" s="427"/>
      <c r="AD163" s="427"/>
      <c r="AE163" s="427"/>
      <c r="AF163" s="427"/>
      <c r="AG163" s="163"/>
      <c r="AH163" s="117"/>
    </row>
    <row r="164" spans="1:34">
      <c r="A164" s="117"/>
      <c r="B164" s="122"/>
      <c r="O164" s="160" t="s">
        <v>621</v>
      </c>
      <c r="P164" s="26" t="s">
        <v>393</v>
      </c>
      <c r="T164" s="162" t="s">
        <v>623</v>
      </c>
      <c r="X164" s="427"/>
      <c r="Y164" s="427"/>
      <c r="Z164" s="427"/>
      <c r="AA164" s="427"/>
      <c r="AB164" s="427"/>
      <c r="AC164" s="427"/>
      <c r="AD164" s="427"/>
      <c r="AE164" s="427"/>
      <c r="AF164" s="427"/>
      <c r="AG164" s="163"/>
      <c r="AH164" s="117"/>
    </row>
    <row r="165" spans="1:34">
      <c r="A165" s="117"/>
      <c r="B165" s="122"/>
      <c r="O165" s="160"/>
      <c r="T165" s="162"/>
      <c r="X165" s="427"/>
      <c r="Y165" s="427"/>
      <c r="Z165" s="427"/>
      <c r="AA165" s="427"/>
      <c r="AB165" s="427"/>
      <c r="AC165" s="427"/>
      <c r="AD165" s="427"/>
      <c r="AE165" s="427"/>
      <c r="AF165" s="427"/>
      <c r="AG165" s="163"/>
      <c r="AH165" s="117"/>
    </row>
    <row r="166" spans="1:34">
      <c r="A166" s="117"/>
      <c r="B166" s="122"/>
      <c r="X166" s="427"/>
      <c r="Y166" s="427"/>
      <c r="Z166" s="427"/>
      <c r="AA166" s="427"/>
      <c r="AB166" s="427"/>
      <c r="AC166" s="427"/>
      <c r="AD166" s="427"/>
      <c r="AE166" s="427"/>
      <c r="AF166" s="427"/>
      <c r="AG166" s="163"/>
      <c r="AH166" s="117"/>
    </row>
    <row r="167" spans="1:34">
      <c r="A167" s="117"/>
      <c r="B167" s="124"/>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c r="AE167" s="125"/>
      <c r="AF167" s="125"/>
      <c r="AG167" s="126"/>
      <c r="AH167" s="117"/>
    </row>
    <row r="168" spans="1:34">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22.2"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4.95"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ht="17.7" hidden="1"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ht="17.7" hidden="1"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ht="17.7" hidden="1"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row>
    <row r="188" spans="1:34" ht="17.7" hidden="1"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row>
    <row r="189" spans="1:34" ht="17.7" hidden="1"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row>
    <row r="190" spans="1:34" ht="17.7" hidden="1"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row>
    <row r="191" spans="1:34" ht="17.7" hidden="1"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row>
    <row r="192" spans="1:34" ht="17.7" hidden="1"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7"/>
    </row>
    <row r="193" spans="1:34" ht="17.7" hidden="1"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row>
    <row r="194" spans="1:34" ht="17.7" hidden="1"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7"/>
    </row>
    <row r="195" spans="1:34" ht="17.7" hidden="1"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row>
    <row r="196" spans="1:34" ht="17.7" hidden="1"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7"/>
    </row>
    <row r="197" spans="1:34" s="204" customForma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7"/>
    </row>
    <row r="198" spans="1:34" s="204" customFormat="1" hidden="1"/>
    <row r="199" spans="1:34" s="204" customFormat="1" hidden="1"/>
    <row r="200" spans="1:34" s="204" customFormat="1" hidden="1"/>
    <row r="201" spans="1:34" s="204" customFormat="1" hidden="1"/>
    <row r="202" spans="1:34" hidden="1"/>
    <row r="203" spans="1:34" hidden="1"/>
    <row r="204" spans="1:34" hidden="1"/>
    <row r="205" spans="1:34" hidden="1"/>
    <row r="206" spans="1:34" hidden="1"/>
    <row r="207" spans="1:34" hidden="1"/>
    <row r="208" spans="1:34"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sheetData>
  <sortState ref="M13:M20">
    <sortCondition ref="M13:M20"/>
  </sortState>
  <mergeCells count="9">
    <mergeCell ref="D148:E152"/>
    <mergeCell ref="B8:AG11"/>
    <mergeCell ref="X110:AF138"/>
    <mergeCell ref="X86:AF103"/>
    <mergeCell ref="D113:E115"/>
    <mergeCell ref="D89:E91"/>
    <mergeCell ref="X145:AF166"/>
    <mergeCell ref="X17:AF26"/>
    <mergeCell ref="X35:AF7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E7" activePane="bottomRight" state="frozen"/>
      <selection pane="topRight" activeCell="D136" sqref="D136"/>
      <selection pane="bottomLeft" activeCell="D136" sqref="D136"/>
      <selection pane="bottomRight" activeCell="F382" sqref="F382:F38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2028</v>
      </c>
    </row>
    <row r="7" spans="1:15" ht="16.2" hidden="1" customHeight="1">
      <c r="A7" s="30" t="str">
        <f>E7&amp;F7</f>
        <v>ENERGY_CERTIFICATE_EST_INPUTn.a.</v>
      </c>
      <c r="B7" s="142" t="s">
        <v>26</v>
      </c>
      <c r="C7" s="138" t="s">
        <v>34</v>
      </c>
      <c r="D7" s="134" t="s">
        <v>36</v>
      </c>
      <c r="E7" s="135" t="s">
        <v>37</v>
      </c>
      <c r="F7" s="134" t="s">
        <v>38</v>
      </c>
      <c r="G7" s="136" t="str">
        <f>VLOOKUP(A7,Plano_V3!$A$26:$G$592,7,0)</f>
        <v>4. Validação EF</v>
      </c>
      <c r="H7" s="136" t="s">
        <v>618</v>
      </c>
      <c r="I7" s="143" t="s">
        <v>2058</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4. Validação EF</v>
      </c>
      <c r="H8" s="136" t="s">
        <v>618</v>
      </c>
      <c r="I8" s="143" t="s">
        <v>2058</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4. Validação EF</v>
      </c>
      <c r="H9" s="136" t="s">
        <v>618</v>
      </c>
      <c r="I9" s="143" t="s">
        <v>2058</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4. Validação EF</v>
      </c>
      <c r="H10" s="136" t="s">
        <v>618</v>
      </c>
      <c r="I10" s="143" t="s">
        <v>2058</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4. Validação EF</v>
      </c>
      <c r="H11" s="136" t="s">
        <v>618</v>
      </c>
      <c r="I11" s="143" t="s">
        <v>2058</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4. Validação EF</v>
      </c>
      <c r="H12" s="136" t="s">
        <v>618</v>
      </c>
      <c r="I12" s="143" t="s">
        <v>2058</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4. Validação EF</v>
      </c>
      <c r="H13" s="136" t="s">
        <v>618</v>
      </c>
      <c r="I13" s="143" t="s">
        <v>2058</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4. Validação EF</v>
      </c>
      <c r="H14" s="136" t="s">
        <v>618</v>
      </c>
      <c r="I14" s="143" t="s">
        <v>2058</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4. Validação EF</v>
      </c>
      <c r="H15" s="136" t="s">
        <v>618</v>
      </c>
      <c r="I15" s="143" t="s">
        <v>2058</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4. Validação EF</v>
      </c>
      <c r="H16" s="136" t="s">
        <v>618</v>
      </c>
      <c r="I16" s="143" t="s">
        <v>2058</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4. Validação EF</v>
      </c>
      <c r="H17" s="136" t="s">
        <v>618</v>
      </c>
      <c r="I17" s="143" t="s">
        <v>2058</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4. Validação EF</v>
      </c>
      <c r="H18" s="136" t="s">
        <v>618</v>
      </c>
      <c r="I18" s="143" t="s">
        <v>2058</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4. Validação EF</v>
      </c>
      <c r="H19" s="136" t="s">
        <v>618</v>
      </c>
      <c r="I19" s="143" t="s">
        <v>2058</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VLOOKUP(A107,Plano_V3!$A$26:$G$592,7,0)</f>
        <v>1. Concluído</v>
      </c>
      <c r="H107" s="136" t="s">
        <v>1921</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649</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650</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651</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E209&amp;F209</f>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E210&amp;F210</f>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652</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E212&amp;F212</f>
        <v>modesg_param_sfcs_taxon_europeianivel_mrc</v>
      </c>
      <c r="B212" s="142" t="s">
        <v>26</v>
      </c>
      <c r="C212" s="138" t="s">
        <v>181</v>
      </c>
      <c r="D212" s="134" t="s">
        <v>40</v>
      </c>
      <c r="E212" s="135" t="s">
        <v>182</v>
      </c>
      <c r="F212" s="134" t="s">
        <v>212</v>
      </c>
      <c r="G212" s="136" t="str">
        <f>VLOOKUP(A212,Plano_V3!$A$26:$G$592,7,0)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3">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3"/>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3"/>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3"/>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3"/>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3"/>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modesg_inp_emss_vclssubgrupo</v>
      </c>
      <c r="B229" s="142" t="s">
        <v>26</v>
      </c>
      <c r="C229" s="138" t="s">
        <v>181</v>
      </c>
      <c r="D229" s="134" t="s">
        <v>40</v>
      </c>
      <c r="E229" s="135" t="s">
        <v>213</v>
      </c>
      <c r="F229" s="134" t="s">
        <v>228</v>
      </c>
      <c r="G229" s="136" t="str">
        <f>VLOOKUP(A229,Plano_V3!$A$26:$G$592,7,0)</f>
        <v>1. Concluído</v>
      </c>
      <c r="H229" s="136" t="s">
        <v>613</v>
      </c>
      <c r="I229" s="144" t="s">
        <v>653</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modesg_inp_km_medios_emss_vclssubgrupo</v>
      </c>
      <c r="B242" s="142" t="s">
        <v>26</v>
      </c>
      <c r="C242" s="138" t="s">
        <v>181</v>
      </c>
      <c r="D242" s="134" t="s">
        <v>40</v>
      </c>
      <c r="E242" s="135" t="s">
        <v>214</v>
      </c>
      <c r="F242" s="134" t="s">
        <v>228</v>
      </c>
      <c r="G242" s="136" t="str">
        <f>VLOOKUP(A242,Plano_V3!$A$26:$G$592,7,0)</f>
        <v>1. Concluído</v>
      </c>
      <c r="H242" s="136" t="s">
        <v>613</v>
      </c>
      <c r="I242" s="144" t="s">
        <v>653</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4">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4"/>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4"/>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modesg_inp_nfrd_alinhamento_taxnome_pais</v>
      </c>
      <c r="B256" s="142" t="s">
        <v>26</v>
      </c>
      <c r="C256" s="138" t="s">
        <v>181</v>
      </c>
      <c r="D256" s="134" t="s">
        <v>40</v>
      </c>
      <c r="E256" s="135" t="s">
        <v>216</v>
      </c>
      <c r="F256" s="134" t="s">
        <v>222</v>
      </c>
      <c r="G256" s="136" t="str">
        <f>VLOOKUP(A256,Plano_V3!$A$26:$G$592,7,0)</f>
        <v>1. Concluído</v>
      </c>
      <c r="H256" s="136" t="s">
        <v>613</v>
      </c>
      <c r="I256" s="144" t="s">
        <v>653</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653</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5">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5"/>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5"/>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modesg_inp_emss_scibscp1_emss</v>
      </c>
      <c r="B303" s="142" t="s">
        <v>26</v>
      </c>
      <c r="C303" s="138" t="s">
        <v>181</v>
      </c>
      <c r="D303" s="134" t="s">
        <v>40</v>
      </c>
      <c r="E303" s="135" t="s">
        <v>218</v>
      </c>
      <c r="F303" s="134" t="s">
        <v>286</v>
      </c>
      <c r="G303" s="136" t="str">
        <f>VLOOKUP(A303,Plano_V3!$A$26:$G$592,7,0)</f>
        <v>1. Concluído</v>
      </c>
      <c r="H303" s="136" t="s">
        <v>613</v>
      </c>
      <c r="I303" s="143" t="s">
        <v>654</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5"/>
        <v>modesg_inp_emss_scibscp2_emss</v>
      </c>
      <c r="B304" s="142" t="s">
        <v>26</v>
      </c>
      <c r="C304" s="138" t="s">
        <v>181</v>
      </c>
      <c r="D304" s="134" t="s">
        <v>40</v>
      </c>
      <c r="E304" s="135" t="s">
        <v>218</v>
      </c>
      <c r="F304" s="134" t="s">
        <v>287</v>
      </c>
      <c r="G304" s="136" t="str">
        <f>VLOOKUP(A304,Plano_V3!$A$26:$G$592,7,0)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5"/>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modesg_inp_emss_naceano</v>
      </c>
      <c r="B316" s="142" t="s">
        <v>26</v>
      </c>
      <c r="C316" s="138" t="s">
        <v>181</v>
      </c>
      <c r="D316" s="134" t="s">
        <v>40</v>
      </c>
      <c r="E316" s="135" t="s">
        <v>219</v>
      </c>
      <c r="F316" s="134" t="s">
        <v>298</v>
      </c>
      <c r="G316" s="136" t="str">
        <f>VLOOKUP(A316,Plano_V3!$A$26:$G$592,7,0)</f>
        <v>1. Concluído</v>
      </c>
      <c r="H316" s="136" t="s">
        <v>613</v>
      </c>
      <c r="I316" s="144" t="s">
        <v>653</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modesg_inp_emss_nacenome_pais</v>
      </c>
      <c r="B317" s="142" t="s">
        <v>26</v>
      </c>
      <c r="C317" s="138" t="s">
        <v>181</v>
      </c>
      <c r="D317" s="134" t="s">
        <v>40</v>
      </c>
      <c r="E317" s="135" t="s">
        <v>219</v>
      </c>
      <c r="F317" s="134" t="s">
        <v>222</v>
      </c>
      <c r="G317" s="136" t="str">
        <f>VLOOKUP(A317,Plano_V3!$A$26:$G$592,7,0)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modesg_inp_emss_nacenivel_classificacao_1</v>
      </c>
      <c r="B320" s="142" t="s">
        <v>26</v>
      </c>
      <c r="C320" s="138" t="s">
        <v>181</v>
      </c>
      <c r="D320" s="134" t="s">
        <v>40</v>
      </c>
      <c r="E320" s="135" t="s">
        <v>219</v>
      </c>
      <c r="F320" s="134" t="s">
        <v>300</v>
      </c>
      <c r="G320" s="136" t="str">
        <f>VLOOKUP(A320,Plano_V3!$A$26:$G$592,7,0)</f>
        <v>1. Concluído</v>
      </c>
      <c r="H320" s="136" t="s">
        <v>613</v>
      </c>
      <c r="I320" s="144" t="s">
        <v>653</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modesg_inp_emss_naceclasse_ativo</v>
      </c>
      <c r="B321" s="142" t="s">
        <v>26</v>
      </c>
      <c r="C321" s="138" t="s">
        <v>181</v>
      </c>
      <c r="D321" s="134" t="s">
        <v>40</v>
      </c>
      <c r="E321" s="135" t="s">
        <v>219</v>
      </c>
      <c r="F321" s="134" t="s">
        <v>301</v>
      </c>
      <c r="G321" s="136" t="str">
        <f>VLOOKUP(A321,Plano_V3!$A$26:$G$592,7,0)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modesg_inp_emss_naceopcao_metodologia</v>
      </c>
      <c r="B322" s="142" t="s">
        <v>26</v>
      </c>
      <c r="C322" s="138" t="s">
        <v>181</v>
      </c>
      <c r="D322" s="134" t="s">
        <v>40</v>
      </c>
      <c r="E322" s="135" t="s">
        <v>219</v>
      </c>
      <c r="F322" s="134" t="s">
        <v>302</v>
      </c>
      <c r="G322" s="136" t="str">
        <f>VLOOKUP(A322,Plano_V3!$A$26:$G$592,7,0)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5"/>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modesg_inp_emss_bens_imoveisclasse_ativo</v>
      </c>
      <c r="B332" s="142" t="s">
        <v>26</v>
      </c>
      <c r="C332" s="138" t="s">
        <v>181</v>
      </c>
      <c r="D332" s="134" t="s">
        <v>40</v>
      </c>
      <c r="E332" s="135" t="s">
        <v>220</v>
      </c>
      <c r="F332" s="134" t="s">
        <v>301</v>
      </c>
      <c r="G332" s="136" t="str">
        <f>VLOOKUP(A332,Plano_V3!$A$26:$G$592,7,0)</f>
        <v>1. Concluído</v>
      </c>
      <c r="H332" s="136" t="s">
        <v>613</v>
      </c>
      <c r="I332" s="144" t="s">
        <v>653</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modesg_inp_emss_bens_imoveistipo_fator_emissao</v>
      </c>
      <c r="B333" s="142" t="s">
        <v>26</v>
      </c>
      <c r="C333" s="138" t="s">
        <v>181</v>
      </c>
      <c r="D333" s="134" t="s">
        <v>40</v>
      </c>
      <c r="E333" s="135" t="s">
        <v>220</v>
      </c>
      <c r="F333" s="134" t="s">
        <v>304</v>
      </c>
      <c r="G333" s="136" t="str">
        <f>VLOOKUP(A333,Plano_V3!$A$26:$G$592,7,0)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modesg_inp_emss_bens_imoveisregiao</v>
      </c>
      <c r="B334" s="142" t="s">
        <v>26</v>
      </c>
      <c r="C334" s="138" t="s">
        <v>181</v>
      </c>
      <c r="D334" s="134" t="s">
        <v>40</v>
      </c>
      <c r="E334" s="135" t="s">
        <v>220</v>
      </c>
      <c r="F334" s="134" t="s">
        <v>305</v>
      </c>
      <c r="G334" s="136" t="str">
        <f>VLOOKUP(A334,Plano_V3!$A$26:$G$592,7,0)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modesg_inp_emss_bens_imoveisflg_ftr_emss_area</v>
      </c>
      <c r="B338" s="142" t="s">
        <v>26</v>
      </c>
      <c r="C338" s="138" t="s">
        <v>181</v>
      </c>
      <c r="D338" s="134" t="s">
        <v>40</v>
      </c>
      <c r="E338" s="135" t="s">
        <v>220</v>
      </c>
      <c r="F338" s="134" t="s">
        <v>308</v>
      </c>
      <c r="G338" s="136" t="str">
        <f>VLOOKUP(A338,Plano_V3!$A$26:$G$592,7,0)</f>
        <v>0. Cancelado</v>
      </c>
      <c r="H338" s="136" t="s">
        <v>612</v>
      </c>
      <c r="I338" s="145" t="s">
        <v>655</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6">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6"/>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modesg_inp_emss_bens_imoveisano_fator_emissao</v>
      </c>
      <c r="B344" s="142" t="s">
        <v>26</v>
      </c>
      <c r="C344" s="138" t="s">
        <v>181</v>
      </c>
      <c r="D344" s="134" t="s">
        <v>40</v>
      </c>
      <c r="E344" s="135" t="s">
        <v>220</v>
      </c>
      <c r="F344" s="134" t="s">
        <v>309</v>
      </c>
      <c r="G344" s="136" t="str">
        <f>VLOOKUP(A344,Plano_V3!$A$26:$G$592,7,0)</f>
        <v>1. Concluído</v>
      </c>
      <c r="H344" s="136" t="s">
        <v>613</v>
      </c>
      <c r="I344" s="144" t="s">
        <v>653</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6"/>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customHeight="1">
      <c r="A352" s="30" t="str">
        <f t="shared" si="6"/>
        <v>modesg_out_bens_imoveisflg_rsc_fsc_agd</v>
      </c>
      <c r="B352" s="142" t="s">
        <v>26</v>
      </c>
      <c r="C352" s="138" t="s">
        <v>311</v>
      </c>
      <c r="D352" s="134" t="s">
        <v>40</v>
      </c>
      <c r="E352" s="135" t="s">
        <v>312</v>
      </c>
      <c r="F352" s="134" t="s">
        <v>283</v>
      </c>
      <c r="G352" s="136" t="str">
        <f>VLOOKUP(A352,Plano_V3!$A$26:$G$592,7,0)</f>
        <v>2.2 Em Re-especificação</v>
      </c>
      <c r="H352" s="136" t="s">
        <v>1921</v>
      </c>
      <c r="I352" s="143" t="s">
        <v>656</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customHeight="1">
      <c r="A353" s="30" t="str">
        <f t="shared" si="6"/>
        <v>modesg_out_bens_imoveisflg_rsc_fsc_crnc</v>
      </c>
      <c r="B353" s="142" t="s">
        <v>26</v>
      </c>
      <c r="C353" s="138" t="s">
        <v>311</v>
      </c>
      <c r="D353" s="134" t="s">
        <v>40</v>
      </c>
      <c r="E353" s="135" t="s">
        <v>312</v>
      </c>
      <c r="F353" s="134" t="s">
        <v>284</v>
      </c>
      <c r="G353" s="136" t="str">
        <f>VLOOKUP(A353,Plano_V3!$A$26:$G$592,7,0)</f>
        <v>2.2 Em Re-especificação</v>
      </c>
      <c r="H353" s="136" t="s">
        <v>1921</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customHeight="1">
      <c r="A354" s="30" t="str">
        <f t="shared" si="6"/>
        <v>modesg_out_bens_imoveisorigem_flg_rsc_fsc_agd</v>
      </c>
      <c r="B354" s="142" t="s">
        <v>26</v>
      </c>
      <c r="C354" s="138" t="s">
        <v>311</v>
      </c>
      <c r="D354" s="134" t="s">
        <v>40</v>
      </c>
      <c r="E354" s="135" t="s">
        <v>312</v>
      </c>
      <c r="F354" s="134" t="s">
        <v>318</v>
      </c>
      <c r="G354" s="136" t="str">
        <f>VLOOKUP(A354,Plano_V3!$A$26:$G$592,7,0)</f>
        <v>2.2 Em Re-especificação</v>
      </c>
      <c r="H354" s="136" t="s">
        <v>1921</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customHeight="1">
      <c r="A355" s="30" t="str">
        <f t="shared" si="6"/>
        <v>modesg_out_bens_imoveisorigem_flg_rsc_fsc_crnc</v>
      </c>
      <c r="B355" s="142" t="s">
        <v>26</v>
      </c>
      <c r="C355" s="138" t="s">
        <v>311</v>
      </c>
      <c r="D355" s="134" t="s">
        <v>40</v>
      </c>
      <c r="E355" s="135" t="s">
        <v>312</v>
      </c>
      <c r="F355" s="134" t="s">
        <v>319</v>
      </c>
      <c r="G355" s="136" t="str">
        <f>VLOOKUP(A355,Plano_V3!$A$26:$G$592,7,0)</f>
        <v>2.2 Em Re-especificação</v>
      </c>
      <c r="H355" s="136" t="s">
        <v>1921</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6"/>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6"/>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6"/>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6"/>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6"/>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hidden="1" customHeight="1">
      <c r="A367" s="30" t="str">
        <f t="shared" si="6"/>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656</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hidden="1" customHeight="1">
      <c r="A368" s="30" t="str">
        <f t="shared" si="6"/>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modesg_out_empr_info_nfincca_capex_ttl_elgbl</v>
      </c>
      <c r="B369" s="142" t="s">
        <v>26</v>
      </c>
      <c r="C369" s="138" t="s">
        <v>311</v>
      </c>
      <c r="D369" s="134" t="s">
        <v>40</v>
      </c>
      <c r="E369" s="135" t="s">
        <v>326</v>
      </c>
      <c r="F369" s="134" t="s">
        <v>249</v>
      </c>
      <c r="G369" s="136" t="str">
        <f>VLOOKUP(A369,Plano_V3!$A$26:$G$592,7,0)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modesg_out_empr_info_nfincca_trnvr_ttl_elgbl</v>
      </c>
      <c r="B371" s="142" t="s">
        <v>26</v>
      </c>
      <c r="C371" s="138" t="s">
        <v>311</v>
      </c>
      <c r="D371" s="134" t="s">
        <v>40</v>
      </c>
      <c r="E371" s="135" t="s">
        <v>326</v>
      </c>
      <c r="F371" s="134" t="s">
        <v>246</v>
      </c>
      <c r="G371" s="136" t="str">
        <f>VLOOKUP(A371,Plano_V3!$A$26:$G$592,7,0)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modesg_out_empr_info_nfinccm_capex_ttl_elgbl</v>
      </c>
      <c r="B376" s="142" t="s">
        <v>26</v>
      </c>
      <c r="C376" s="138" t="s">
        <v>311</v>
      </c>
      <c r="D376" s="134" t="s">
        <v>40</v>
      </c>
      <c r="E376" s="135" t="s">
        <v>326</v>
      </c>
      <c r="F376" s="134" t="s">
        <v>256</v>
      </c>
      <c r="G376" s="136" t="str">
        <f>VLOOKUP(A376,Plano_V3!$A$26:$G$592,7,0)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modesg_out_empr_info_nfinccm_trnvr_ttl_elgbl</v>
      </c>
      <c r="B380" s="142" t="s">
        <v>26</v>
      </c>
      <c r="C380" s="138" t="s">
        <v>311</v>
      </c>
      <c r="D380" s="134" t="s">
        <v>40</v>
      </c>
      <c r="E380" s="135" t="s">
        <v>326</v>
      </c>
      <c r="F380" s="134" t="s">
        <v>252</v>
      </c>
      <c r="G380" s="136" t="str">
        <f>VLOOKUP(A380,Plano_V3!$A$26:$G$592,7,0)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modesg_out_empr_info_nfincod_nace_esg</v>
      </c>
      <c r="B381" s="142" t="s">
        <v>26</v>
      </c>
      <c r="C381" s="138" t="s">
        <v>311</v>
      </c>
      <c r="D381" s="134" t="s">
        <v>40</v>
      </c>
      <c r="E381" s="135" t="s">
        <v>326</v>
      </c>
      <c r="F381" s="218" t="s">
        <v>282</v>
      </c>
      <c r="G381" s="219" t="str">
        <f>VLOOKUP(A381,Plano_V3!$A$26:$G$592,7,0)</f>
        <v>2.2 Em Re-especificação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customHeight="1">
      <c r="A382" s="30" t="str">
        <f t="shared" si="6"/>
        <v>modesg_out_empr_info_nfinflg_emprs_excl_paris</v>
      </c>
      <c r="B382" s="142" t="s">
        <v>26</v>
      </c>
      <c r="C382" s="138" t="s">
        <v>311</v>
      </c>
      <c r="D382" s="134" t="s">
        <v>40</v>
      </c>
      <c r="E382" s="135" t="s">
        <v>326</v>
      </c>
      <c r="F382" s="134" t="s">
        <v>328</v>
      </c>
      <c r="G382" s="136" t="str">
        <f>VLOOKUP(A382,Plano_V3!$A$26:$G$592,7,0)</f>
        <v>2.1 Em Teste</v>
      </c>
      <c r="H382" s="136" t="s">
        <v>618</v>
      </c>
      <c r="I382" s="154" t="s">
        <v>656</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customHeight="1">
      <c r="A383" s="30" t="str">
        <f t="shared" si="6"/>
        <v>modesg_out_empr_info_nfinflg_nfrd</v>
      </c>
      <c r="B383" s="142" t="s">
        <v>26</v>
      </c>
      <c r="C383" s="138" t="s">
        <v>311</v>
      </c>
      <c r="D383" s="134" t="s">
        <v>40</v>
      </c>
      <c r="E383" s="135" t="s">
        <v>326</v>
      </c>
      <c r="F383" s="134" t="s">
        <v>245</v>
      </c>
      <c r="G383" s="136" t="str">
        <f>VLOOKUP(A383,Plano_V3!$A$26:$G$592,7,0)</f>
        <v>2.1 Em Teste</v>
      </c>
      <c r="H383" s="136" t="s">
        <v>618</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modesg_out_empr_info_nfinflg_rsc_fsc_agd</v>
      </c>
      <c r="B384" s="142" t="s">
        <v>26</v>
      </c>
      <c r="C384" s="138" t="s">
        <v>311</v>
      </c>
      <c r="D384" s="134" t="s">
        <v>40</v>
      </c>
      <c r="E384" s="135" t="s">
        <v>326</v>
      </c>
      <c r="F384" s="134" t="s">
        <v>283</v>
      </c>
      <c r="G384" s="136" t="str">
        <f>VLOOKUP(A384,Plano_V3!$A$26:$G$592,7,0)</f>
        <v>1. Concluído</v>
      </c>
      <c r="H384" s="136" t="s">
        <v>613</v>
      </c>
      <c r="I384" s="154" t="s">
        <v>656</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hidden="1" customHeight="1">
      <c r="A385" s="30" t="str">
        <f t="shared" si="6"/>
        <v>modesg_out_empr_info_nfinflg_rsc_fsc_crnc</v>
      </c>
      <c r="B385" s="142" t="s">
        <v>26</v>
      </c>
      <c r="C385" s="138" t="s">
        <v>311</v>
      </c>
      <c r="D385" s="134" t="s">
        <v>40</v>
      </c>
      <c r="E385" s="135" t="s">
        <v>326</v>
      </c>
      <c r="F385" s="134" t="s">
        <v>284</v>
      </c>
      <c r="G385" s="136" t="str">
        <f>VLOOKUP(A385,Plano_V3!$A$26:$G$592,7,0)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modesg_out_empr_info_nfinorigem_alinhamentos</v>
      </c>
      <c r="B386" s="142" t="s">
        <v>26</v>
      </c>
      <c r="C386" s="138" t="s">
        <v>311</v>
      </c>
      <c r="D386" s="134" t="s">
        <v>40</v>
      </c>
      <c r="E386" s="135" t="s">
        <v>326</v>
      </c>
      <c r="F386" s="134" t="s">
        <v>329</v>
      </c>
      <c r="G386" s="136" t="str">
        <f>VLOOKUP(A386,Plano_V3!$A$26:$G$592,7,0)</f>
        <v>1. Concluído</v>
      </c>
      <c r="H386" s="136" t="s">
        <v>618</v>
      </c>
      <c r="I386" s="154" t="s">
        <v>656</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customHeight="1">
      <c r="A387" s="30" t="str">
        <f t="shared" si="6"/>
        <v>modesg_out_empr_info_nfinorigem_flg_emprs_excl_paris</v>
      </c>
      <c r="B387" s="142" t="s">
        <v>26</v>
      </c>
      <c r="C387" s="138" t="s">
        <v>311</v>
      </c>
      <c r="D387" s="134" t="s">
        <v>40</v>
      </c>
      <c r="E387" s="135" t="s">
        <v>326</v>
      </c>
      <c r="F387" s="134" t="s">
        <v>330</v>
      </c>
      <c r="G387" s="136" t="str">
        <f>VLOOKUP(A387,Plano_V3!$A$26:$G$592,7,0)</f>
        <v>2.1 Em Teste</v>
      </c>
      <c r="H387" s="136" t="s">
        <v>618</v>
      </c>
      <c r="I387" s="154" t="s">
        <v>656</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modesg_out_empr_info_nfinorigem_flg_nfrd</v>
      </c>
      <c r="B388" s="142" t="s">
        <v>26</v>
      </c>
      <c r="C388" s="138" t="s">
        <v>311</v>
      </c>
      <c r="D388" s="134" t="s">
        <v>40</v>
      </c>
      <c r="E388" s="135" t="s">
        <v>326</v>
      </c>
      <c r="F388" s="134" t="s">
        <v>331</v>
      </c>
      <c r="G388" s="136" t="str">
        <f>VLOOKUP(A388,Plano_V3!$A$26:$G$592,7,0)</f>
        <v>1. Concluído</v>
      </c>
      <c r="H388" s="136" t="s">
        <v>618</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modesg_out_empr_info_nfinorigem_flg_rsc_fsc_agd</v>
      </c>
      <c r="B389" s="142" t="s">
        <v>26</v>
      </c>
      <c r="C389" s="138" t="s">
        <v>311</v>
      </c>
      <c r="D389" s="134" t="s">
        <v>40</v>
      </c>
      <c r="E389" s="135" t="s">
        <v>326</v>
      </c>
      <c r="F389" s="134" t="s">
        <v>318</v>
      </c>
      <c r="G389" s="136" t="str">
        <f>VLOOKUP(A389,Plano_V3!$A$26:$G$592,7,0)</f>
        <v>1. Concluído</v>
      </c>
      <c r="H389" s="136" t="s">
        <v>613</v>
      </c>
      <c r="I389" s="154" t="s">
        <v>656</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hidden="1" customHeight="1">
      <c r="A390" s="30" t="str">
        <f t="shared" si="6"/>
        <v>modesg_out_empr_info_nfinorigem_flg_rsc_fsc_crnc</v>
      </c>
      <c r="B390" s="142" t="s">
        <v>26</v>
      </c>
      <c r="C390" s="138" t="s">
        <v>311</v>
      </c>
      <c r="D390" s="134" t="s">
        <v>40</v>
      </c>
      <c r="E390" s="135" t="s">
        <v>326</v>
      </c>
      <c r="F390" s="134" t="s">
        <v>319</v>
      </c>
      <c r="G390" s="136" t="str">
        <f>VLOOKUP(A390,Plano_V3!$A$26:$G$592,7,0)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customHeight="1">
      <c r="A391" s="30" t="str">
        <f t="shared" si="6"/>
        <v>modesg_out_empr_info_nfinorigem_scp1_emss</v>
      </c>
      <c r="B391" s="142" t="s">
        <v>26</v>
      </c>
      <c r="C391" s="138" t="s">
        <v>311</v>
      </c>
      <c r="D391" s="134" t="s">
        <v>40</v>
      </c>
      <c r="E391" s="135" t="s">
        <v>326</v>
      </c>
      <c r="F391" s="134" t="s">
        <v>320</v>
      </c>
      <c r="G391" s="136" t="str">
        <f>VLOOKUP(A391,Plano_V3!$A$26:$G$592,7,0)</f>
        <v>6. Em implementação (re-especificação)</v>
      </c>
      <c r="H391" s="136" t="s">
        <v>613</v>
      </c>
      <c r="I391" s="154" t="s">
        <v>657</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customHeight="1">
      <c r="A392" s="30" t="str">
        <f t="shared" si="6"/>
        <v>modesg_out_empr_info_nfinorigem_scp2_emss</v>
      </c>
      <c r="B392" s="142" t="s">
        <v>26</v>
      </c>
      <c r="C392" s="138" t="s">
        <v>311</v>
      </c>
      <c r="D392" s="134" t="s">
        <v>40</v>
      </c>
      <c r="E392" s="135" t="s">
        <v>326</v>
      </c>
      <c r="F392" s="134" t="s">
        <v>321</v>
      </c>
      <c r="G392" s="136" t="str">
        <f>VLOOKUP(A392,Plano_V3!$A$26:$G$592,7,0)</f>
        <v>6. Em implementação (re-especificação)</v>
      </c>
      <c r="H392" s="136" t="s">
        <v>613</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customHeight="1">
      <c r="A393" s="30" t="str">
        <f t="shared" si="6"/>
        <v>modesg_out_empr_info_nfinorigem_scp3_emss</v>
      </c>
      <c r="B393" s="142" t="s">
        <v>26</v>
      </c>
      <c r="C393" s="138" t="s">
        <v>311</v>
      </c>
      <c r="D393" s="134" t="s">
        <v>40</v>
      </c>
      <c r="E393" s="135" t="s">
        <v>326</v>
      </c>
      <c r="F393" s="134" t="s">
        <v>322</v>
      </c>
      <c r="G393" s="136" t="str">
        <f>VLOOKUP(A393,Plano_V3!$A$26:$G$592,7,0)</f>
        <v>6. Em implementação (re-especificação)</v>
      </c>
      <c r="H393" s="136" t="s">
        <v>613</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customHeight="1">
      <c r="A395" s="30" t="str">
        <f t="shared" si="6"/>
        <v>modesg_out_empr_info_nfinscp1_emss</v>
      </c>
      <c r="B395" s="142" t="s">
        <v>26</v>
      </c>
      <c r="C395" s="138" t="s">
        <v>311</v>
      </c>
      <c r="D395" s="134" t="s">
        <v>40</v>
      </c>
      <c r="E395" s="135" t="s">
        <v>326</v>
      </c>
      <c r="F395" s="134" t="s">
        <v>286</v>
      </c>
      <c r="G395" s="136" t="str">
        <f>VLOOKUP(A395,Plano_V3!$A$26:$G$592,7,0)</f>
        <v>6. Em implementação (re-especificação)</v>
      </c>
      <c r="H395" s="136" t="s">
        <v>613</v>
      </c>
      <c r="I395" s="154" t="s">
        <v>657</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customHeight="1">
      <c r="A396" s="30" t="str">
        <f t="shared" si="6"/>
        <v>modesg_out_empr_info_nfinscp2_emss</v>
      </c>
      <c r="B396" s="142" t="s">
        <v>26</v>
      </c>
      <c r="C396" s="138" t="s">
        <v>311</v>
      </c>
      <c r="D396" s="134" t="s">
        <v>40</v>
      </c>
      <c r="E396" s="135" t="s">
        <v>326</v>
      </c>
      <c r="F396" s="134" t="s">
        <v>287</v>
      </c>
      <c r="G396" s="136" t="str">
        <f>VLOOKUP(A396,Plano_V3!$A$26:$G$592,7,0)</f>
        <v>6. Em implementação (re-especificação)</v>
      </c>
      <c r="H396" s="136" t="s">
        <v>613</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customHeight="1">
      <c r="A397" s="30" t="str">
        <f t="shared" si="6"/>
        <v>modesg_out_empr_info_nfinscp3_emss</v>
      </c>
      <c r="B397" s="142" t="s">
        <v>26</v>
      </c>
      <c r="C397" s="138" t="s">
        <v>311</v>
      </c>
      <c r="D397" s="134" t="s">
        <v>40</v>
      </c>
      <c r="E397" s="135" t="s">
        <v>326</v>
      </c>
      <c r="F397" s="134" t="s">
        <v>288</v>
      </c>
      <c r="G397" s="136" t="str">
        <f>VLOOKUP(A397,Plano_V3!$A$26:$G$592,7,0)</f>
        <v>6. Em implementação (re-especificação)</v>
      </c>
      <c r="H397" s="136" t="s">
        <v>613</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6"/>
        <v>modesg_out_emss_vclsn.a.</v>
      </c>
      <c r="B399" s="142" t="s">
        <v>26</v>
      </c>
      <c r="C399" s="138" t="s">
        <v>311</v>
      </c>
      <c r="D399" s="134" t="s">
        <v>36</v>
      </c>
      <c r="E399" s="135" t="s">
        <v>332</v>
      </c>
      <c r="F399" s="134" t="s">
        <v>38</v>
      </c>
      <c r="G399" s="136" t="str">
        <f>VLOOKUP(A399,Plano_V3!$A$26:$G$592,7,0)</f>
        <v>1. Concluído</v>
      </c>
      <c r="H399" s="136" t="s">
        <v>613</v>
      </c>
      <c r="I399" s="143" t="s">
        <v>658</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6"/>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6"/>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7">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7"/>
        <v>modesg_out_emss_vclscnsm_co2</v>
      </c>
      <c r="B404" s="142" t="s">
        <v>26</v>
      </c>
      <c r="C404" s="138" t="s">
        <v>311</v>
      </c>
      <c r="D404" s="134" t="s">
        <v>40</v>
      </c>
      <c r="E404" s="135" t="s">
        <v>332</v>
      </c>
      <c r="F404" s="134" t="s">
        <v>188</v>
      </c>
      <c r="G404" s="136" t="str">
        <f>VLOOKUP(A404,Plano_V3!$A$26:$G$592,7,0)</f>
        <v>1. Concluído</v>
      </c>
      <c r="H404" s="136" t="s">
        <v>613</v>
      </c>
      <c r="I404" s="143" t="s">
        <v>658</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7"/>
        <v>modesg_out_emss_vclsorigem_scp1_emss</v>
      </c>
      <c r="B405" s="142" t="s">
        <v>26</v>
      </c>
      <c r="C405" s="138" t="s">
        <v>311</v>
      </c>
      <c r="D405" s="134" t="s">
        <v>40</v>
      </c>
      <c r="E405" s="135" t="s">
        <v>332</v>
      </c>
      <c r="F405" s="134" t="s">
        <v>320</v>
      </c>
      <c r="G405" s="136" t="str">
        <f>VLOOKUP(A405,Plano_V3!$A$26:$G$592,7,0)</f>
        <v>1. Concluído</v>
      </c>
      <c r="H405" s="136" t="s">
        <v>613</v>
      </c>
      <c r="I405" s="143" t="s">
        <v>658</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modesg_out_emss_vclsorigem_scp2_emss</v>
      </c>
      <c r="B406" s="142" t="s">
        <v>26</v>
      </c>
      <c r="C406" s="138" t="s">
        <v>311</v>
      </c>
      <c r="D406" s="134" t="s">
        <v>40</v>
      </c>
      <c r="E406" s="135" t="s">
        <v>332</v>
      </c>
      <c r="F406" s="134" t="s">
        <v>321</v>
      </c>
      <c r="G406" s="136" t="str">
        <f>VLOOKUP(A406,Plano_V3!$A$26:$G$592,7,0)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modesg_out_emss_vclsorigem_scp3_emss</v>
      </c>
      <c r="B407" s="142" t="s">
        <v>26</v>
      </c>
      <c r="C407" s="138" t="s">
        <v>311</v>
      </c>
      <c r="D407" s="134" t="s">
        <v>40</v>
      </c>
      <c r="E407" s="135" t="s">
        <v>332</v>
      </c>
      <c r="F407" s="134" t="s">
        <v>322</v>
      </c>
      <c r="G407" s="136" t="str">
        <f>VLOOKUP(A407,Plano_V3!$A$26:$G$592,7,0)</f>
        <v>1. Concluído</v>
      </c>
      <c r="H407" s="136" t="s">
        <v>613</v>
      </c>
      <c r="I407" s="143" t="s">
        <v>658</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7"/>
        <v>modesg_out_emss_vclsscp1_emss</v>
      </c>
      <c r="B409" s="142" t="s">
        <v>26</v>
      </c>
      <c r="C409" s="138" t="s">
        <v>311</v>
      </c>
      <c r="D409" s="134" t="s">
        <v>40</v>
      </c>
      <c r="E409" s="135" t="s">
        <v>332</v>
      </c>
      <c r="F409" s="134" t="s">
        <v>286</v>
      </c>
      <c r="G409" s="136" t="str">
        <f>VLOOKUP(A409,Plano_V3!$A$26:$G$592,7,0)</f>
        <v>1. Concluído</v>
      </c>
      <c r="H409" s="136" t="s">
        <v>613</v>
      </c>
      <c r="I409" s="143" t="s">
        <v>658</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7"/>
        <v>modesg_out_emss_vclsscp2_emss</v>
      </c>
      <c r="B410" s="142" t="s">
        <v>26</v>
      </c>
      <c r="C410" s="138" t="s">
        <v>311</v>
      </c>
      <c r="D410" s="134" t="s">
        <v>40</v>
      </c>
      <c r="E410" s="135" t="s">
        <v>332</v>
      </c>
      <c r="F410" s="134" t="s">
        <v>287</v>
      </c>
      <c r="G410" s="136" t="str">
        <f>VLOOKUP(A410,Plano_V3!$A$26:$G$592,7,0)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modesg_out_emss_vclsscp3_emss</v>
      </c>
      <c r="B411" s="142" t="s">
        <v>26</v>
      </c>
      <c r="C411" s="138" t="s">
        <v>311</v>
      </c>
      <c r="D411" s="134" t="s">
        <v>40</v>
      </c>
      <c r="E411" s="135" t="s">
        <v>332</v>
      </c>
      <c r="F411" s="134" t="s">
        <v>288</v>
      </c>
      <c r="G411" s="136" t="str">
        <f>VLOOKUP(A411,Plano_V3!$A$26:$G$592,7,0)</f>
        <v>1. Concluído</v>
      </c>
      <c r="H411" s="136" t="s">
        <v>613</v>
      </c>
      <c r="I411" s="143" t="s">
        <v>658</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7"/>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modesg_out_sfcs_taxon_europeian.a.</v>
      </c>
      <c r="B415" s="142" t="s">
        <v>26</v>
      </c>
      <c r="C415" s="138" t="s">
        <v>311</v>
      </c>
      <c r="D415" s="134" t="s">
        <v>36</v>
      </c>
      <c r="E415" s="135" t="s">
        <v>334</v>
      </c>
      <c r="F415" s="134" t="s">
        <v>38</v>
      </c>
      <c r="G415" s="136" t="str">
        <f>VLOOKUP(A415,Plano_V3!$A$26:$G$592,7,0)</f>
        <v>2.2 Em Re-especificação</v>
      </c>
      <c r="H415" s="136" t="s">
        <v>1921</v>
      </c>
      <c r="I415" s="143" t="s">
        <v>656</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7"/>
        <v>modesg_out_sfcs_taxon_europeiacbalcao</v>
      </c>
      <c r="B416" s="142" t="s">
        <v>26</v>
      </c>
      <c r="C416" s="138" t="s">
        <v>311</v>
      </c>
      <c r="D416" s="134" t="s">
        <v>40</v>
      </c>
      <c r="E416" s="135" t="s">
        <v>334</v>
      </c>
      <c r="F416" s="134" t="s">
        <v>183</v>
      </c>
      <c r="G416" s="136" t="str">
        <f>VLOOKUP(A416,Plano_V3!$A$26:$G$592,7,0)</f>
        <v>2.2 Em Re-especificação</v>
      </c>
      <c r="H416" s="136" t="s">
        <v>1921</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modesg_out_sfcs_taxon_europeiacempresa</v>
      </c>
      <c r="B417" s="142" t="s">
        <v>26</v>
      </c>
      <c r="C417" s="138" t="s">
        <v>311</v>
      </c>
      <c r="D417" s="134" t="s">
        <v>40</v>
      </c>
      <c r="E417" s="135" t="s">
        <v>334</v>
      </c>
      <c r="F417" s="134" t="s">
        <v>184</v>
      </c>
      <c r="G417" s="136" t="str">
        <f>VLOOKUP(A417,Plano_V3!$A$26:$G$592,7,0)</f>
        <v>2.2 Em Re-especificação</v>
      </c>
      <c r="H417" s="136" t="s">
        <v>1921</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modesg_out_sfcs_taxon_europeiacnumecta</v>
      </c>
      <c r="B418" s="142" t="s">
        <v>26</v>
      </c>
      <c r="C418" s="138" t="s">
        <v>311</v>
      </c>
      <c r="D418" s="134" t="s">
        <v>40</v>
      </c>
      <c r="E418" s="135" t="s">
        <v>334</v>
      </c>
      <c r="F418" s="134" t="s">
        <v>189</v>
      </c>
      <c r="G418" s="136" t="str">
        <f>VLOOKUP(A418,Plano_V3!$A$26:$G$592,7,0)</f>
        <v>2.2 Em Re-especificação</v>
      </c>
      <c r="H418" s="136" t="s">
        <v>1921</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modesg_out_sfcs_taxon_europeiacod_regra</v>
      </c>
      <c r="B419" s="142" t="s">
        <v>26</v>
      </c>
      <c r="C419" s="138" t="s">
        <v>311</v>
      </c>
      <c r="D419" s="134" t="s">
        <v>40</v>
      </c>
      <c r="E419" s="135" t="s">
        <v>334</v>
      </c>
      <c r="F419" s="134" t="s">
        <v>191</v>
      </c>
      <c r="G419" s="136" t="str">
        <f>VLOOKUP(A419,Plano_V3!$A$26:$G$592,7,0)</f>
        <v>2.2 Em Re-especificação</v>
      </c>
      <c r="H419" s="136" t="s">
        <v>1921</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modesg_out_sfcs_taxon_europeiaordem</v>
      </c>
      <c r="B420" s="142" t="s">
        <v>26</v>
      </c>
      <c r="C420" s="138" t="s">
        <v>311</v>
      </c>
      <c r="D420" s="134" t="s">
        <v>40</v>
      </c>
      <c r="E420" s="135" t="s">
        <v>334</v>
      </c>
      <c r="F420" s="134" t="s">
        <v>211</v>
      </c>
      <c r="G420" s="136" t="str">
        <f>VLOOKUP(A420,Plano_V3!$A$26:$G$592,7,0)</f>
        <v>0. Cancelado</v>
      </c>
      <c r="H420" s="136" t="s">
        <v>612</v>
      </c>
      <c r="I420" s="145" t="s">
        <v>655</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7"/>
        <v>modesg_out_sfcs_taxon_europeiamontante_pndrc</v>
      </c>
      <c r="B421" s="142" t="s">
        <v>26</v>
      </c>
      <c r="C421" s="138" t="s">
        <v>311</v>
      </c>
      <c r="D421" s="134" t="s">
        <v>40</v>
      </c>
      <c r="E421" s="135" t="s">
        <v>334</v>
      </c>
      <c r="F421" s="134" t="s">
        <v>202</v>
      </c>
      <c r="G421" s="136" t="str">
        <f>VLOOKUP(A421,Plano_V3!$A$26:$G$592,7,0)</f>
        <v>2.2 Em Re-especificação</v>
      </c>
      <c r="H421" s="136" t="s">
        <v>1921</v>
      </c>
      <c r="I421" s="143" t="s">
        <v>656</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7"/>
        <v>modesg_out_sfcs_taxon_europeianome_ctgr_sfcs</v>
      </c>
      <c r="B422" s="142" t="s">
        <v>26</v>
      </c>
      <c r="C422" s="138" t="s">
        <v>311</v>
      </c>
      <c r="D422" s="134" t="s">
        <v>40</v>
      </c>
      <c r="E422" s="135" t="s">
        <v>334</v>
      </c>
      <c r="F422" s="134" t="s">
        <v>203</v>
      </c>
      <c r="G422" s="136" t="str">
        <f>VLOOKUP(A422,Plano_V3!$A$26:$G$592,7,0)</f>
        <v>2.2 Em Re-especificação</v>
      </c>
      <c r="H422" s="136" t="s">
        <v>1921</v>
      </c>
      <c r="I422" s="143" t="s">
        <v>656</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modesg_out_sfcs_taxon_europeianome_general_specific_purpose</v>
      </c>
      <c r="B423" s="142" t="s">
        <v>26</v>
      </c>
      <c r="C423" s="138" t="s">
        <v>311</v>
      </c>
      <c r="D423" s="134" t="s">
        <v>40</v>
      </c>
      <c r="E423" s="135" t="s">
        <v>334</v>
      </c>
      <c r="F423" s="134" t="s">
        <v>204</v>
      </c>
      <c r="G423" s="136" t="str">
        <f>VLOOKUP(A423,Plano_V3!$A$26:$G$592,7,0)</f>
        <v>2.2 Em Re-especificação</v>
      </c>
      <c r="H423" s="136" t="s">
        <v>1921</v>
      </c>
      <c r="I423" s="143" t="s">
        <v>656</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modesg_out_sfcs_taxon_europeianome_purpose_esg</v>
      </c>
      <c r="B424" s="142" t="s">
        <v>26</v>
      </c>
      <c r="C424" s="138" t="s">
        <v>311</v>
      </c>
      <c r="D424" s="134" t="s">
        <v>40</v>
      </c>
      <c r="E424" s="135" t="s">
        <v>334</v>
      </c>
      <c r="F424" s="134" t="s">
        <v>205</v>
      </c>
      <c r="G424" s="136" t="str">
        <f>VLOOKUP(A424,Plano_V3!$A$26:$G$592,7,0)</f>
        <v>2.2 Em Re-especificação</v>
      </c>
      <c r="H424" s="136" t="s">
        <v>1921</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modesg_out_sfcs_taxon_europeianome_specific_eligible</v>
      </c>
      <c r="B425" s="142" t="s">
        <v>26</v>
      </c>
      <c r="C425" s="138" t="s">
        <v>311</v>
      </c>
      <c r="D425" s="134" t="s">
        <v>40</v>
      </c>
      <c r="E425" s="135" t="s">
        <v>334</v>
      </c>
      <c r="F425" s="134" t="s">
        <v>206</v>
      </c>
      <c r="G425" s="136" t="str">
        <f>VLOOKUP(A425,Plano_V3!$A$26:$G$592,7,0)</f>
        <v>2.2 Em Re-especificação</v>
      </c>
      <c r="H425" s="136" t="s">
        <v>1921</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modesg_out_sfcs_taxon_europeianome_specific_sustainable</v>
      </c>
      <c r="B426" s="142" t="s">
        <v>26</v>
      </c>
      <c r="C426" s="138" t="s">
        <v>311</v>
      </c>
      <c r="D426" s="134" t="s">
        <v>40</v>
      </c>
      <c r="E426" s="135" t="s">
        <v>334</v>
      </c>
      <c r="F426" s="134" t="s">
        <v>207</v>
      </c>
      <c r="G426" s="136" t="str">
        <f>VLOOKUP(A426,Plano_V3!$A$26:$G$592,7,0)</f>
        <v>2.2 Em Re-especificação</v>
      </c>
      <c r="H426" s="136" t="s">
        <v>1921</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7"/>
        <v>modesg_out_sfcs_taxon_europeiaref_date</v>
      </c>
      <c r="B428" s="142" t="s">
        <v>26</v>
      </c>
      <c r="C428" s="138" t="s">
        <v>311</v>
      </c>
      <c r="D428" s="134" t="s">
        <v>40</v>
      </c>
      <c r="E428" s="135" t="s">
        <v>334</v>
      </c>
      <c r="F428" s="134" t="s">
        <v>208</v>
      </c>
      <c r="G428" s="136" t="str">
        <f>VLOOKUP(A428,Plano_V3!$A$26:$G$592,7,0)</f>
        <v>2.2 Em Re-especificação</v>
      </c>
      <c r="H428" s="136" t="s">
        <v>1921</v>
      </c>
      <c r="I428" s="143" t="s">
        <v>656</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7"/>
        <v>modesg_out_sfcs_taxon_europeiazdeposit</v>
      </c>
      <c r="B429" s="142" t="s">
        <v>26</v>
      </c>
      <c r="C429" s="138" t="s">
        <v>311</v>
      </c>
      <c r="D429" s="134" t="s">
        <v>40</v>
      </c>
      <c r="E429" s="135" t="s">
        <v>334</v>
      </c>
      <c r="F429" s="134" t="s">
        <v>210</v>
      </c>
      <c r="G429" s="136" t="str">
        <f>VLOOKUP(A429,Plano_V3!$A$26:$G$592,7,0)</f>
        <v>2.2 Em Re-especificação</v>
      </c>
      <c r="H429" s="136" t="s">
        <v>1921</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lt003_entitynace_esg</v>
      </c>
      <c r="B430" s="142" t="s">
        <v>26</v>
      </c>
      <c r="C430" s="138" t="s">
        <v>26</v>
      </c>
      <c r="D430" s="134" t="s">
        <v>40</v>
      </c>
      <c r="E430" s="137" t="s">
        <v>336</v>
      </c>
      <c r="F430" s="137" t="s">
        <v>337</v>
      </c>
      <c r="G430" s="136" t="str">
        <f>VLOOKUP(A430,Plano_V3!$A$26:$G$592,7,0)</f>
        <v>3. Pendente de outros desenvolvimentos</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7"/>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7"/>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7"/>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7"/>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7"/>
        <v>lt003_entitycntrprty_emssns_scp1</v>
      </c>
      <c r="B446" s="142" t="s">
        <v>26</v>
      </c>
      <c r="C446" s="138" t="s">
        <v>26</v>
      </c>
      <c r="D446" s="134" t="s">
        <v>40</v>
      </c>
      <c r="E446" s="137" t="s">
        <v>336</v>
      </c>
      <c r="F446" s="137" t="s">
        <v>354</v>
      </c>
      <c r="G446" s="136" t="str">
        <f>VLOOKUP(A446,Plano_V3!$A$26:$G$592,7,0)</f>
        <v>3. Pendente de outros desenvolvimentos</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7"/>
        <v>lt003_entitycntrprty_emssns_scp2</v>
      </c>
      <c r="B447" s="142" t="s">
        <v>26</v>
      </c>
      <c r="C447" s="138" t="s">
        <v>26</v>
      </c>
      <c r="D447" s="134" t="s">
        <v>40</v>
      </c>
      <c r="E447" s="137" t="s">
        <v>336</v>
      </c>
      <c r="F447" s="137" t="s">
        <v>355</v>
      </c>
      <c r="G447" s="136" t="str">
        <f>VLOOKUP(A447,Plano_V3!$A$26:$G$592,7,0)</f>
        <v>3. Pendente de outros desenvolvimentos</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lt003_entitycntrprty_emssns_scp3</v>
      </c>
      <c r="B448" s="142" t="s">
        <v>26</v>
      </c>
      <c r="C448" s="138" t="s">
        <v>26</v>
      </c>
      <c r="D448" s="134" t="s">
        <v>40</v>
      </c>
      <c r="E448" s="137" t="s">
        <v>336</v>
      </c>
      <c r="F448" s="137" t="s">
        <v>356</v>
      </c>
      <c r="G448" s="136" t="str">
        <f>VLOOKUP(A448,Plano_V3!$A$26:$G$592,7,0)</f>
        <v>3. Pendente de outros desenvolvimentos</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7"/>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7"/>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7"/>
        <v>lt003_entityesg_sbsctr</v>
      </c>
      <c r="B453" s="142" t="s">
        <v>26</v>
      </c>
      <c r="C453" s="138" t="s">
        <v>26</v>
      </c>
      <c r="D453" s="134" t="s">
        <v>40</v>
      </c>
      <c r="E453" s="137" t="s">
        <v>336</v>
      </c>
      <c r="F453" s="137" t="s">
        <v>361</v>
      </c>
      <c r="G453" s="136" t="str">
        <f>VLOOKUP(A453,Plano_V3!$A$26:$G$592,7,0)</f>
        <v>1. Concluído</v>
      </c>
      <c r="H453" s="136" t="s">
        <v>613</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7"/>
        <v>lt003_entityttl_lblty</v>
      </c>
      <c r="B454" s="142" t="s">
        <v>26</v>
      </c>
      <c r="C454" s="138" t="s">
        <v>26</v>
      </c>
      <c r="D454" s="134" t="s">
        <v>40</v>
      </c>
      <c r="E454" s="137" t="s">
        <v>336</v>
      </c>
      <c r="F454" s="137" t="s">
        <v>362</v>
      </c>
      <c r="G454" s="136" t="str">
        <f>VLOOKUP(A454,Plano_V3!$A$26:$G$592,7,0)</f>
        <v>1. Concluído</v>
      </c>
      <c r="H454" s="136" t="s">
        <v>613</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7"/>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7"/>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7"/>
        <v>lt003_entitygrp_ttl_lblty</v>
      </c>
      <c r="B457" s="142" t="s">
        <v>26</v>
      </c>
      <c r="C457" s="138" t="s">
        <v>26</v>
      </c>
      <c r="D457" s="134" t="s">
        <v>40</v>
      </c>
      <c r="E457" s="137" t="s">
        <v>336</v>
      </c>
      <c r="F457" s="137" t="s">
        <v>364</v>
      </c>
      <c r="G457" s="136" t="str">
        <f>VLOOKUP(A457,Plano_V3!$A$26:$G$592,7,0)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7"/>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7"/>
        <v>lt003_entitygrp_emssns_scp1</v>
      </c>
      <c r="B459" s="142" t="s">
        <v>26</v>
      </c>
      <c r="C459" s="138" t="s">
        <v>26</v>
      </c>
      <c r="D459" s="134" t="s">
        <v>40</v>
      </c>
      <c r="E459" s="137" t="s">
        <v>336</v>
      </c>
      <c r="F459" s="137" t="s">
        <v>366</v>
      </c>
      <c r="G459" s="136" t="str">
        <f>VLOOKUP(A459,Plano_V3!$A$26:$G$592,7,0)</f>
        <v>3. Pendente de outros desenvolvimentos</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7"/>
        <v>lt003_entitygrp_emssns_scp2</v>
      </c>
      <c r="B460" s="142" t="s">
        <v>26</v>
      </c>
      <c r="C460" s="138" t="s">
        <v>26</v>
      </c>
      <c r="D460" s="134" t="s">
        <v>40</v>
      </c>
      <c r="E460" s="137" t="s">
        <v>336</v>
      </c>
      <c r="F460" s="137" t="s">
        <v>367</v>
      </c>
      <c r="G460" s="136" t="str">
        <f>VLOOKUP(A460,Plano_V3!$A$26:$G$592,7,0)</f>
        <v>3. Pendente de outros desenvolvimentos</v>
      </c>
      <c r="H460" s="136" t="s">
        <v>613</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lt003_entitygrp_emssns_scp3</v>
      </c>
      <c r="B461" s="142" t="s">
        <v>26</v>
      </c>
      <c r="C461" s="138" t="s">
        <v>26</v>
      </c>
      <c r="D461" s="134" t="s">
        <v>40</v>
      </c>
      <c r="E461" s="137" t="s">
        <v>336</v>
      </c>
      <c r="F461" s="137" t="s">
        <v>368</v>
      </c>
      <c r="G461" s="136" t="str">
        <f>VLOOKUP(A461,Plano_V3!$A$26:$G$592,7,0)</f>
        <v>3. Pendente de outros desenvolvimentos</v>
      </c>
      <c r="H461" s="136" t="s">
        <v>613</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7"/>
        <v>lt004_protectionep_scr</v>
      </c>
      <c r="B463" s="142" t="s">
        <v>26</v>
      </c>
      <c r="C463" s="138" t="s">
        <v>26</v>
      </c>
      <c r="D463" s="134" t="s">
        <v>40</v>
      </c>
      <c r="E463" s="137" t="s">
        <v>369</v>
      </c>
      <c r="F463" s="317" t="s">
        <v>371</v>
      </c>
      <c r="G463" s="136" t="str">
        <f>VLOOKUP(A463,Plano_V3!$A$26:$G$592,7,0)</f>
        <v>1. Concluído</v>
      </c>
      <c r="H463" s="136" t="s">
        <v>616</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7"/>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lt004_protectionepc_lbl</v>
      </c>
      <c r="B465" s="142" t="s">
        <v>26</v>
      </c>
      <c r="C465" s="138" t="s">
        <v>26</v>
      </c>
      <c r="D465" s="134" t="s">
        <v>40</v>
      </c>
      <c r="E465" s="137" t="s">
        <v>369</v>
      </c>
      <c r="F465" s="317" t="s">
        <v>373</v>
      </c>
      <c r="G465" s="136" t="str">
        <f>VLOOKUP(A465,Plano_V3!$A$26:$G$592,7,0)</f>
        <v>1. Concluído</v>
      </c>
      <c r="H465" s="136" t="s">
        <v>616</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lt004_protectionemssns_scp1_prtctn</v>
      </c>
      <c r="B466" s="142" t="s">
        <v>26</v>
      </c>
      <c r="C466" s="138" t="s">
        <v>26</v>
      </c>
      <c r="D466" s="134" t="s">
        <v>40</v>
      </c>
      <c r="E466" s="137" t="s">
        <v>369</v>
      </c>
      <c r="F466" s="317" t="s">
        <v>374</v>
      </c>
      <c r="G466" s="318" t="str">
        <f>VLOOKUP(A466,Plano_V3!$A$26:$G$592,7,0)</f>
        <v>1. Concluído</v>
      </c>
      <c r="H466" s="136" t="s">
        <v>1921</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8">E467&amp;F467</f>
        <v>lt004_protectionemssns_scp2_prtctn</v>
      </c>
      <c r="B467" s="142" t="s">
        <v>26</v>
      </c>
      <c r="C467" s="138" t="s">
        <v>26</v>
      </c>
      <c r="D467" s="134" t="s">
        <v>40</v>
      </c>
      <c r="E467" s="137" t="s">
        <v>369</v>
      </c>
      <c r="F467" s="317" t="s">
        <v>375</v>
      </c>
      <c r="G467" s="318" t="str">
        <f>VLOOKUP(A467,Plano_V3!$A$26:$G$592,7,0)</f>
        <v>1. Concluído</v>
      </c>
      <c r="H467" s="136" t="s">
        <v>1921</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8"/>
        <v>lt004_protectionemssns_scp3_prtctn</v>
      </c>
      <c r="B468" s="142" t="s">
        <v>26</v>
      </c>
      <c r="C468" s="138" t="s">
        <v>26</v>
      </c>
      <c r="D468" s="134" t="s">
        <v>40</v>
      </c>
      <c r="E468" s="137" t="s">
        <v>369</v>
      </c>
      <c r="F468" s="317" t="s">
        <v>376</v>
      </c>
      <c r="G468" s="318" t="str">
        <f>VLOOKUP(A468,Plano_V3!$A$26:$G$592,7,0)</f>
        <v>1. Concluído</v>
      </c>
      <c r="H468" s="136" t="s">
        <v>1921</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lt004_protectionmthd_usd_prtctn_scp_1</v>
      </c>
      <c r="B469" s="142" t="s">
        <v>26</v>
      </c>
      <c r="C469" s="138" t="s">
        <v>26</v>
      </c>
      <c r="D469" s="134" t="s">
        <v>40</v>
      </c>
      <c r="E469" s="137" t="s">
        <v>369</v>
      </c>
      <c r="F469" s="317" t="s">
        <v>377</v>
      </c>
      <c r="G469" s="318" t="str">
        <f>VLOOKUP(A469,Plano_V3!$A$26:$G$592,7,0)</f>
        <v>1. Concluído</v>
      </c>
      <c r="H469" s="136" t="s">
        <v>1921</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lt004_protectionmthd_usd_prtctn_scp_2</v>
      </c>
      <c r="B470" s="142" t="s">
        <v>26</v>
      </c>
      <c r="C470" s="138" t="s">
        <v>26</v>
      </c>
      <c r="D470" s="134" t="s">
        <v>40</v>
      </c>
      <c r="E470" s="137" t="s">
        <v>369</v>
      </c>
      <c r="F470" s="317" t="s">
        <v>378</v>
      </c>
      <c r="G470" s="318" t="str">
        <f>VLOOKUP(A470,Plano_V3!$A$26:$G$592,7,0)</f>
        <v>1. Concluído</v>
      </c>
      <c r="H470" s="136" t="s">
        <v>1921</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lt004_protectionmthd_usd_prtctn_scp_3</v>
      </c>
      <c r="B471" s="142" t="s">
        <v>26</v>
      </c>
      <c r="C471" s="138" t="s">
        <v>26</v>
      </c>
      <c r="D471" s="134" t="s">
        <v>40</v>
      </c>
      <c r="E471" s="137" t="s">
        <v>369</v>
      </c>
      <c r="F471" s="317" t="s">
        <v>379</v>
      </c>
      <c r="G471" s="318" t="str">
        <f>VLOOKUP(A471,Plano_V3!$A$26:$G$592,7,0)</f>
        <v>1. Concluído</v>
      </c>
      <c r="H471" s="136" t="s">
        <v>1921</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8"/>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8"/>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8"/>
        <v>lt007_instr_activityenvrnmntl_objctv</v>
      </c>
      <c r="B476" s="142" t="s">
        <v>26</v>
      </c>
      <c r="C476" s="138" t="s">
        <v>26</v>
      </c>
      <c r="D476" s="134" t="s">
        <v>40</v>
      </c>
      <c r="E476" s="137" t="s">
        <v>1948</v>
      </c>
      <c r="F476" s="137" t="s">
        <v>383</v>
      </c>
      <c r="G476" s="136" t="str">
        <f>VLOOKUP(A476,Plano_V3!$A$26:$G$592,7,0)</f>
        <v>1. Concluído</v>
      </c>
      <c r="H476" s="136" t="s">
        <v>613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8"/>
        <v>lt007_instr_activitytyp_actvty</v>
      </c>
      <c r="B477" s="142" t="s">
        <v>26</v>
      </c>
      <c r="C477" s="138" t="s">
        <v>26</v>
      </c>
      <c r="D477" s="134" t="s">
        <v>40</v>
      </c>
      <c r="E477" s="137" t="s">
        <v>1948</v>
      </c>
      <c r="F477" s="137" t="s">
        <v>384</v>
      </c>
      <c r="G477" s="136" t="str">
        <f>VLOOKUP(A477,Plano_V3!$A$26:$G$592,7,0)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8"/>
        <v>lt002_instrumentmthd_usd_instrmnt_scp_1</v>
      </c>
      <c r="B479" s="142" t="s">
        <v>26</v>
      </c>
      <c r="C479" s="138" t="s">
        <v>26</v>
      </c>
      <c r="D479" s="134" t="s">
        <v>40</v>
      </c>
      <c r="E479" s="137" t="s">
        <v>380</v>
      </c>
      <c r="F479" s="137" t="s">
        <v>386</v>
      </c>
      <c r="G479" s="136" t="str">
        <f>VLOOKUP(A479,Plano_V3!$A$26:$G$592,7,0)</f>
        <v>3. Pendente de outros desenvolvimentos</v>
      </c>
      <c r="H479" s="136" t="s">
        <v>613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8"/>
        <v>lt002_instrumentmthd_usd_instrmnt_scp_2</v>
      </c>
      <c r="B480" s="142" t="s">
        <v>26</v>
      </c>
      <c r="C480" s="138" t="s">
        <v>26</v>
      </c>
      <c r="D480" s="134" t="s">
        <v>40</v>
      </c>
      <c r="E480" s="137" t="s">
        <v>380</v>
      </c>
      <c r="F480" s="137" t="s">
        <v>387</v>
      </c>
      <c r="G480" s="136" t="str">
        <f>VLOOKUP(A480,Plano_V3!$A$26:$G$592,7,0)</f>
        <v>3. Pendente de outros desenvolvimentos</v>
      </c>
      <c r="H480" s="136" t="s">
        <v>613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lt002_instrumentmthd_usd_instrmnt_scp_3</v>
      </c>
      <c r="B481" s="142" t="s">
        <v>26</v>
      </c>
      <c r="C481" s="138" t="s">
        <v>26</v>
      </c>
      <c r="D481" s="134" t="s">
        <v>40</v>
      </c>
      <c r="E481" s="137" t="s">
        <v>380</v>
      </c>
      <c r="F481" s="137" t="s">
        <v>388</v>
      </c>
      <c r="G481" s="136" t="str">
        <f>VLOOKUP(A481,Plano_V3!$A$26:$G$592,7,0)</f>
        <v>3. Pendente de outros desenvolvimentos</v>
      </c>
      <c r="H481" s="136" t="s">
        <v>613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8"/>
        <v>lt002_instrumentsstnbl_ctgry_txnmy</v>
      </c>
      <c r="B482" s="142" t="s">
        <v>26</v>
      </c>
      <c r="C482" s="138" t="s">
        <v>26</v>
      </c>
      <c r="D482" s="134" t="s">
        <v>40</v>
      </c>
      <c r="E482" s="137" t="s">
        <v>380</v>
      </c>
      <c r="F482" s="137" t="s">
        <v>389</v>
      </c>
      <c r="G482" s="136" t="str">
        <f>VLOOKUP(A482,Plano_V3!$A$26:$G$592,7,0)</f>
        <v>1. Concluído</v>
      </c>
      <c r="H482" s="136" t="s">
        <v>613</v>
      </c>
      <c r="I482" s="143" t="s">
        <v>1927</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8"/>
        <v>lt827_mthd_usd_instrmntambito</v>
      </c>
      <c r="B483" s="142" t="s">
        <v>26</v>
      </c>
      <c r="C483" s="138" t="s">
        <v>26</v>
      </c>
      <c r="D483" s="134" t="s">
        <v>40</v>
      </c>
      <c r="E483" s="137" t="s">
        <v>1949</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8"/>
        <v>lt827_mthd_usd_instrmntref_date</v>
      </c>
      <c r="B484" s="142" t="s">
        <v>26</v>
      </c>
      <c r="C484" s="138" t="s">
        <v>26</v>
      </c>
      <c r="D484" s="134" t="s">
        <v>40</v>
      </c>
      <c r="E484" s="137" t="s">
        <v>1949</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lt827_mthd_usd_instrmntordem</v>
      </c>
      <c r="B485" s="142" t="s">
        <v>26</v>
      </c>
      <c r="C485" s="138" t="s">
        <v>26</v>
      </c>
      <c r="D485" s="134" t="s">
        <v>40</v>
      </c>
      <c r="E485" s="137" t="s">
        <v>1949</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lt827_mthd_usd_instrmnttabela</v>
      </c>
      <c r="B486" s="142" t="s">
        <v>26</v>
      </c>
      <c r="C486" s="138" t="s">
        <v>26</v>
      </c>
      <c r="D486" s="134" t="s">
        <v>40</v>
      </c>
      <c r="E486" s="137" t="s">
        <v>1949</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8"/>
        <v>lt827_mthd_usd_instrmntorigem_scp1_emss</v>
      </c>
      <c r="B487" s="142" t="s">
        <v>26</v>
      </c>
      <c r="C487" s="138" t="s">
        <v>26</v>
      </c>
      <c r="D487" s="134" t="s">
        <v>40</v>
      </c>
      <c r="E487" s="137" t="s">
        <v>1949</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lt827_mthd_usd_instrmntorigem_scp2_emss</v>
      </c>
      <c r="B488" s="142" t="s">
        <v>26</v>
      </c>
      <c r="C488" s="138" t="s">
        <v>26</v>
      </c>
      <c r="D488" s="134" t="s">
        <v>40</v>
      </c>
      <c r="E488" s="137" t="s">
        <v>1949</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lt827_mthd_usd_instrmntorigem_scp3_emss</v>
      </c>
      <c r="B489" s="142" t="s">
        <v>26</v>
      </c>
      <c r="C489" s="138" t="s">
        <v>26</v>
      </c>
      <c r="D489" s="134" t="s">
        <v>40</v>
      </c>
      <c r="E489" s="137" t="s">
        <v>1949</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lt827_mthd_usd_instrmntmthd_usd_instrmnt_scp_1</v>
      </c>
      <c r="B490" s="142" t="s">
        <v>26</v>
      </c>
      <c r="C490" s="138" t="s">
        <v>26</v>
      </c>
      <c r="D490" s="134" t="s">
        <v>40</v>
      </c>
      <c r="E490" s="137" t="s">
        <v>1949</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lt827_mthd_usd_instrmntmthd_usd_instrmnt_scp_2</v>
      </c>
      <c r="B491" s="142" t="s">
        <v>26</v>
      </c>
      <c r="C491" s="138" t="s">
        <v>26</v>
      </c>
      <c r="D491" s="134" t="s">
        <v>40</v>
      </c>
      <c r="E491" s="137" t="s">
        <v>1949</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lt827_mthd_usd_instrmntmthd_usd_instrmnt_scp_3</v>
      </c>
      <c r="B492" s="142" t="s">
        <v>26</v>
      </c>
      <c r="C492" s="138" t="s">
        <v>26</v>
      </c>
      <c r="D492" s="134" t="s">
        <v>40</v>
      </c>
      <c r="E492" s="137" t="s">
        <v>1949</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lt827_mthd_usd_instrmntpurpose_code</v>
      </c>
      <c r="B493" s="142" t="s">
        <v>26</v>
      </c>
      <c r="C493" s="138" t="s">
        <v>26</v>
      </c>
      <c r="D493" s="134" t="s">
        <v>40</v>
      </c>
      <c r="E493" s="137" t="s">
        <v>1949</v>
      </c>
      <c r="F493" s="137" t="s">
        <v>1933</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8"/>
        <v>lt827_mthd_usd_instrmntflg_fin</v>
      </c>
      <c r="B494" s="142" t="s">
        <v>26</v>
      </c>
      <c r="C494" s="138" t="s">
        <v>26</v>
      </c>
      <c r="D494" s="134" t="s">
        <v>40</v>
      </c>
      <c r="E494" s="137" t="s">
        <v>1949</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lt827_mthd_usd_instrmntflg_exec</v>
      </c>
      <c r="B495" s="142" t="s">
        <v>26</v>
      </c>
      <c r="C495" s="138" t="s">
        <v>26</v>
      </c>
      <c r="D495" s="134" t="s">
        <v>40</v>
      </c>
      <c r="E495" s="137" t="s">
        <v>1949</v>
      </c>
      <c r="F495" s="137" t="s">
        <v>1355</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lt827_mthd_usd_instrmntflg_col</v>
      </c>
      <c r="B496" s="142" t="s">
        <v>26</v>
      </c>
      <c r="C496" s="138" t="s">
        <v>26</v>
      </c>
      <c r="D496" s="134" t="s">
        <v>40</v>
      </c>
      <c r="E496" s="137" t="s">
        <v>1949</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lt827_mthd_usd_instrmntflg_pro</v>
      </c>
      <c r="B497" s="142" t="s">
        <v>26</v>
      </c>
      <c r="C497" s="138" t="s">
        <v>26</v>
      </c>
      <c r="D497" s="134" t="s">
        <v>40</v>
      </c>
      <c r="E497" s="137" t="s">
        <v>1949</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8"/>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8"/>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lt002_instrumentdt_rfrnc</v>
      </c>
      <c r="B507" s="142" t="s">
        <v>26</v>
      </c>
      <c r="C507" s="138" t="s">
        <v>26</v>
      </c>
      <c r="D507" s="134" t="s">
        <v>40</v>
      </c>
      <c r="E507" s="137" t="s">
        <v>380</v>
      </c>
      <c r="F507" s="137" t="s">
        <v>399</v>
      </c>
      <c r="G507" s="136" t="str">
        <f>VLOOKUP(A507,Plano_V3!$A$26:$G$592,7,0)</f>
        <v>1. Concluído</v>
      </c>
      <c r="H507" s="136" t="s">
        <v>613</v>
      </c>
      <c r="I507" s="143" t="s">
        <v>659</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lt002_instrumentinstrmnt_id</v>
      </c>
      <c r="B508" s="142" t="s">
        <v>26</v>
      </c>
      <c r="C508" s="138" t="s">
        <v>26</v>
      </c>
      <c r="D508" s="134" t="s">
        <v>40</v>
      </c>
      <c r="E508" s="137" t="s">
        <v>380</v>
      </c>
      <c r="F508" s="137" t="s">
        <v>401</v>
      </c>
      <c r="G508" s="136" t="str">
        <f>VLOOKUP(A508,Plano_V3!$A$26:$G$592,7,0)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lt002_instrumentdt_incptn</v>
      </c>
      <c r="B509" s="142" t="s">
        <v>26</v>
      </c>
      <c r="C509" s="138" t="s">
        <v>26</v>
      </c>
      <c r="D509" s="134" t="s">
        <v>40</v>
      </c>
      <c r="E509" s="137" t="s">
        <v>380</v>
      </c>
      <c r="F509" s="137" t="s">
        <v>402</v>
      </c>
      <c r="G509" s="136" t="str">
        <f>VLOOKUP(A509,Plano_V3!$A$26:$G$592,7,0)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lt002_instrumentdflt_stts_instrmnt</v>
      </c>
      <c r="B510" s="142" t="s">
        <v>26</v>
      </c>
      <c r="C510" s="138" t="s">
        <v>26</v>
      </c>
      <c r="D510" s="134" t="s">
        <v>40</v>
      </c>
      <c r="E510" s="137" t="s">
        <v>380</v>
      </c>
      <c r="F510" s="137" t="s">
        <v>403</v>
      </c>
      <c r="G510" s="136" t="str">
        <f>VLOOKUP(A510,Plano_V3!$A$26:$G$592,7,0)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lt002_instrumentimprmnt_stts</v>
      </c>
      <c r="B511" s="142" t="s">
        <v>26</v>
      </c>
      <c r="C511" s="138" t="s">
        <v>26</v>
      </c>
      <c r="D511" s="134" t="s">
        <v>40</v>
      </c>
      <c r="E511" s="137" t="s">
        <v>380</v>
      </c>
      <c r="F511" s="137" t="s">
        <v>404</v>
      </c>
      <c r="G511" s="136" t="str">
        <f>VLOOKUP(A511,Plano_V3!$A$26:$G$592,7,0)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lt002_instrumentprfrmng_stts</v>
      </c>
      <c r="B512" s="142" t="s">
        <v>26</v>
      </c>
      <c r="C512" s="138" t="s">
        <v>26</v>
      </c>
      <c r="D512" s="134" t="s">
        <v>40</v>
      </c>
      <c r="E512" s="137" t="s">
        <v>380</v>
      </c>
      <c r="F512" s="137" t="s">
        <v>405</v>
      </c>
      <c r="G512" s="136" t="str">
        <f>VLOOKUP(A512,Plano_V3!$A$26:$G$592,7,0)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lt002_instrumentprjct_fnnc_ln</v>
      </c>
      <c r="B513" s="142" t="s">
        <v>26</v>
      </c>
      <c r="C513" s="138" t="s">
        <v>26</v>
      </c>
      <c r="D513" s="134" t="s">
        <v>40</v>
      </c>
      <c r="E513" s="137" t="s">
        <v>380</v>
      </c>
      <c r="F513" s="137" t="s">
        <v>406</v>
      </c>
      <c r="G513" s="136" t="str">
        <f>VLOOKUP(A513,Plano_V3!$A$26:$G$592,7,0)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lt002_instrumenttyp_instrmnt</v>
      </c>
      <c r="B514" s="142" t="s">
        <v>26</v>
      </c>
      <c r="C514" s="138" t="s">
        <v>26</v>
      </c>
      <c r="D514" s="134" t="s">
        <v>40</v>
      </c>
      <c r="E514" s="137" t="s">
        <v>380</v>
      </c>
      <c r="F514" s="137" t="s">
        <v>407</v>
      </c>
      <c r="G514" s="136" t="str">
        <f>VLOOKUP(A514,Plano_V3!$A$26:$G$592,7,0)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lt002_instrumentgrss_crryng_amnt_instrmnt</v>
      </c>
      <c r="B515" s="142" t="s">
        <v>26</v>
      </c>
      <c r="C515" s="138" t="s">
        <v>26</v>
      </c>
      <c r="D515" s="134" t="s">
        <v>40</v>
      </c>
      <c r="E515" s="137" t="s">
        <v>380</v>
      </c>
      <c r="F515" s="137" t="s">
        <v>408</v>
      </c>
      <c r="G515" s="136" t="str">
        <f>VLOOKUP(A515,Plano_V3!$A$26:$G$592,7,0)</f>
        <v>1. Concluído</v>
      </c>
      <c r="H515" s="136" t="s">
        <v>613</v>
      </c>
      <c r="I515" s="143" t="s">
        <v>659</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8"/>
        <v>lt002_instrumentaccmltd_chngs_fv_cr_instrmnt</v>
      </c>
      <c r="B516" s="142" t="s">
        <v>26</v>
      </c>
      <c r="C516" s="138" t="s">
        <v>26</v>
      </c>
      <c r="D516" s="134" t="s">
        <v>40</v>
      </c>
      <c r="E516" s="137" t="s">
        <v>380</v>
      </c>
      <c r="F516" s="137" t="s">
        <v>409</v>
      </c>
      <c r="G516" s="136" t="str">
        <f>VLOOKUP(A516,Plano_V3!$A$26:$G$592,7,0)</f>
        <v>1. Concluído</v>
      </c>
      <c r="H516" s="136" t="s">
        <v>613</v>
      </c>
      <c r="I516" s="143" t="s">
        <v>659</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8"/>
        <v>lt002_instrumentaccntng_clssfctn</v>
      </c>
      <c r="B517" s="142" t="s">
        <v>26</v>
      </c>
      <c r="C517" s="138" t="s">
        <v>26</v>
      </c>
      <c r="D517" s="134" t="s">
        <v>40</v>
      </c>
      <c r="E517" s="137" t="s">
        <v>380</v>
      </c>
      <c r="F517" s="137" t="s">
        <v>410</v>
      </c>
      <c r="G517" s="136" t="str">
        <f>VLOOKUP(A517,Plano_V3!$A$26:$G$592,7,0)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lt002_instrumentdt_lgl_fnl_mtrty</v>
      </c>
      <c r="B518" s="142" t="s">
        <v>26</v>
      </c>
      <c r="C518" s="138" t="s">
        <v>26</v>
      </c>
      <c r="D518" s="134" t="s">
        <v>40</v>
      </c>
      <c r="E518" s="137" t="s">
        <v>380</v>
      </c>
      <c r="F518" s="137" t="s">
        <v>411</v>
      </c>
      <c r="G518" s="136" t="str">
        <f>VLOOKUP(A518,Plano_V3!$A$26:$G$592,7,0)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lt002_instrumentaccmltd_imprmnt_instrmnt</v>
      </c>
      <c r="B519" s="142" t="s">
        <v>26</v>
      </c>
      <c r="C519" s="138" t="s">
        <v>26</v>
      </c>
      <c r="D519" s="134" t="s">
        <v>40</v>
      </c>
      <c r="E519" s="137" t="s">
        <v>380</v>
      </c>
      <c r="F519" s="137" t="s">
        <v>412</v>
      </c>
      <c r="G519" s="136" t="str">
        <f>VLOOKUP(A519,Plano_V3!$A$26:$G$592,7,0)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lt002_instrumentissr_cntry</v>
      </c>
      <c r="B520" s="142" t="s">
        <v>26</v>
      </c>
      <c r="C520" s="138" t="s">
        <v>26</v>
      </c>
      <c r="D520" s="134" t="s">
        <v>40</v>
      </c>
      <c r="E520" s="137" t="s">
        <v>380</v>
      </c>
      <c r="F520" s="137" t="s">
        <v>413</v>
      </c>
      <c r="G520" s="136" t="str">
        <f>VLOOKUP(A520,Plano_V3!$A$26:$G$592,7,0)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lt002_instrumentissr_nace_sctr</v>
      </c>
      <c r="B521" s="142" t="s">
        <v>26</v>
      </c>
      <c r="C521" s="138" t="s">
        <v>26</v>
      </c>
      <c r="D521" s="134" t="s">
        <v>40</v>
      </c>
      <c r="E521" s="137" t="s">
        <v>380</v>
      </c>
      <c r="F521" s="137" t="s">
        <v>414</v>
      </c>
      <c r="G521" s="136" t="str">
        <f>VLOOKUP(A521,Plano_V3!$A$26:$G$592,7,0)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lt002_instrumentprmry_asst_clssf</v>
      </c>
      <c r="B522" s="142" t="s">
        <v>26</v>
      </c>
      <c r="C522" s="138" t="s">
        <v>26</v>
      </c>
      <c r="D522" s="134" t="s">
        <v>40</v>
      </c>
      <c r="E522" s="137" t="s">
        <v>380</v>
      </c>
      <c r="F522" s="137" t="s">
        <v>415</v>
      </c>
      <c r="G522" s="136" t="str">
        <f>VLOOKUP(A522,Plano_V3!$A$26:$G$592,7,0)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lt002_instrumentsubportfolio_id</v>
      </c>
      <c r="B523" s="142" t="s">
        <v>26</v>
      </c>
      <c r="C523" s="138" t="s">
        <v>26</v>
      </c>
      <c r="D523" s="134" t="s">
        <v>40</v>
      </c>
      <c r="E523" s="137" t="s">
        <v>380</v>
      </c>
      <c r="F523" s="137" t="s">
        <v>416</v>
      </c>
      <c r="G523" s="136" t="str">
        <f>VLOOKUP(A523,Plano_V3!$A$26:$G$592,7,0)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lt002_instrumentcod_soc</v>
      </c>
      <c r="B524" s="142" t="s">
        <v>26</v>
      </c>
      <c r="C524" s="138" t="s">
        <v>26</v>
      </c>
      <c r="D524" s="134" t="s">
        <v>40</v>
      </c>
      <c r="E524" s="137" t="s">
        <v>380</v>
      </c>
      <c r="F524" s="137" t="s">
        <v>417</v>
      </c>
      <c r="G524" s="136" t="str">
        <f>VLOOKUP(A524,Plano_V3!$A$26:$G$592,7,0)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lt002_instrumentlcl_instmrnt_id</v>
      </c>
      <c r="B525" s="142" t="s">
        <v>26</v>
      </c>
      <c r="C525" s="138" t="s">
        <v>26</v>
      </c>
      <c r="D525" s="134" t="s">
        <v>40</v>
      </c>
      <c r="E525" s="137" t="s">
        <v>380</v>
      </c>
      <c r="F525" s="137" t="s">
        <v>418</v>
      </c>
      <c r="G525" s="136" t="str">
        <f>VLOOKUP(A525,Plano_V3!$A$26:$G$592,7,0)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lt007_instr_activitysstnbl_indctr</v>
      </c>
      <c r="B526" s="142" t="s">
        <v>26</v>
      </c>
      <c r="C526" s="138" t="s">
        <v>26</v>
      </c>
      <c r="D526" s="134" t="s">
        <v>40</v>
      </c>
      <c r="E526" s="137" t="s">
        <v>1948</v>
      </c>
      <c r="F526" s="137" t="s">
        <v>419</v>
      </c>
      <c r="G526" s="136" t="str">
        <f>VLOOKUP(A526,Plano_V3!$A$26:$G$592,7,0)</f>
        <v>1. Concluído</v>
      </c>
      <c r="H526" s="136" t="s">
        <v>613</v>
      </c>
      <c r="I526" s="143" t="s">
        <v>1928</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8"/>
        <v>lt007_instr_activitysstnbl_ctgry</v>
      </c>
      <c r="B527" s="142" t="s">
        <v>26</v>
      </c>
      <c r="C527" s="138" t="s">
        <v>26</v>
      </c>
      <c r="D527" s="134" t="s">
        <v>40</v>
      </c>
      <c r="E527" s="137" t="s">
        <v>1948</v>
      </c>
      <c r="F527" s="137" t="s">
        <v>420</v>
      </c>
      <c r="G527" s="136" t="str">
        <f>VLOOKUP(A527,Plano_V3!$A$26:$G$592,7,0)</f>
        <v>4. Validação EF</v>
      </c>
      <c r="H527" s="136" t="s">
        <v>615</v>
      </c>
      <c r="I527" s="143" t="s">
        <v>1928</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lt002_instrumentgrss_intrst_incm</v>
      </c>
      <c r="B528" s="142" t="s">
        <v>26</v>
      </c>
      <c r="C528" s="138" t="s">
        <v>26</v>
      </c>
      <c r="D528" s="134" t="s">
        <v>40</v>
      </c>
      <c r="E528" s="137" t="s">
        <v>380</v>
      </c>
      <c r="F528" s="137" t="s">
        <v>421</v>
      </c>
      <c r="G528" s="136" t="str">
        <f>VLOOKUP(A528,Plano_V3!$A$26:$G$592,7,0)</f>
        <v>2.1 Em Teste</v>
      </c>
      <c r="H528" s="136" t="s">
        <v>1921</v>
      </c>
      <c r="I528" s="143" t="s">
        <v>659</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8"/>
        <v>lt002_instrumentgrss_cmmssn_incm</v>
      </c>
      <c r="B529" s="142" t="s">
        <v>26</v>
      </c>
      <c r="C529" s="138" t="s">
        <v>26</v>
      </c>
      <c r="D529" s="134" t="s">
        <v>40</v>
      </c>
      <c r="E529" s="137" t="s">
        <v>380</v>
      </c>
      <c r="F529" s="137" t="s">
        <v>422</v>
      </c>
      <c r="G529" s="136" t="str">
        <f>VLOOKUP(A529,Plano_V3!$A$26:$G$592,7,0)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lt002_instrumentgrss_cmmssn_incm_off_blnc</v>
      </c>
      <c r="B530" s="142" t="s">
        <v>26</v>
      </c>
      <c r="C530" s="138" t="s">
        <v>26</v>
      </c>
      <c r="D530" s="134" t="s">
        <v>40</v>
      </c>
      <c r="E530" s="137" t="s">
        <v>380</v>
      </c>
      <c r="F530" s="137" t="s">
        <v>423</v>
      </c>
      <c r="G530" s="136" t="str">
        <f>VLOOKUP(A530,Plano_V3!$A$26:$G$592,7,0)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lt002_instrumentidcmb</v>
      </c>
      <c r="B531" s="142" t="s">
        <v>26</v>
      </c>
      <c r="C531" s="138" t="s">
        <v>26</v>
      </c>
      <c r="D531" s="134" t="s">
        <v>40</v>
      </c>
      <c r="E531" s="137" t="s">
        <v>380</v>
      </c>
      <c r="F531" s="137" t="s">
        <v>424</v>
      </c>
      <c r="G531" s="136" t="str">
        <f>VLOOKUP(A531,Plano_V3!$A$26:$G$592,7,0)</f>
        <v>1. Concluído</v>
      </c>
      <c r="H531" s="136" t="s">
        <v>613</v>
      </c>
      <c r="I531" s="143" t="s">
        <v>659</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8"/>
        <v>lt003_entitycntry</v>
      </c>
      <c r="B532" s="142" t="s">
        <v>26</v>
      </c>
      <c r="C532" s="138" t="s">
        <v>26</v>
      </c>
      <c r="D532" s="134" t="s">
        <v>40</v>
      </c>
      <c r="E532" s="137" t="s">
        <v>336</v>
      </c>
      <c r="F532" s="137" t="s">
        <v>425</v>
      </c>
      <c r="G532" s="136" t="str">
        <f>VLOOKUP(A532,Plano_V3!$A$26:$G$592,7,0)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lt003_entitydt_rfrnc</v>
      </c>
      <c r="B533" s="142" t="s">
        <v>26</v>
      </c>
      <c r="C533" s="138" t="s">
        <v>26</v>
      </c>
      <c r="D533" s="134" t="s">
        <v>40</v>
      </c>
      <c r="E533" s="137" t="s">
        <v>336</v>
      </c>
      <c r="F533" s="137" t="s">
        <v>399</v>
      </c>
      <c r="G533" s="136" t="str">
        <f>VLOOKUP(A533,Plano_V3!$A$26:$G$592,7,0)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lt003_entityentty_id</v>
      </c>
      <c r="B534" s="142" t="s">
        <v>26</v>
      </c>
      <c r="C534" s="138" t="s">
        <v>26</v>
      </c>
      <c r="D534" s="134" t="s">
        <v>40</v>
      </c>
      <c r="E534" s="137" t="s">
        <v>336</v>
      </c>
      <c r="F534" s="137" t="s">
        <v>426</v>
      </c>
      <c r="G534" s="136" t="str">
        <f>VLOOKUP(A534,Plano_V3!$A$26:$G$592,7,0)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lt003_entitylei</v>
      </c>
      <c r="B535" s="142" t="s">
        <v>26</v>
      </c>
      <c r="C535" s="138" t="s">
        <v>26</v>
      </c>
      <c r="D535" s="134" t="s">
        <v>40</v>
      </c>
      <c r="E535" s="137" t="s">
        <v>336</v>
      </c>
      <c r="F535" s="137" t="s">
        <v>427</v>
      </c>
      <c r="G535" s="136" t="str">
        <f>VLOOKUP(A535,Plano_V3!$A$26:$G$592,7,0)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9">E536&amp;F536</f>
        <v>lt003_entityecnmc_actvty</v>
      </c>
      <c r="B536" s="142" t="s">
        <v>26</v>
      </c>
      <c r="C536" s="138" t="s">
        <v>26</v>
      </c>
      <c r="D536" s="134" t="s">
        <v>40</v>
      </c>
      <c r="E536" s="137" t="s">
        <v>336</v>
      </c>
      <c r="F536" s="137" t="s">
        <v>428</v>
      </c>
      <c r="G536" s="136" t="str">
        <f>VLOOKUP(A536,Plano_V3!$A$26:$G$592,7,0)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9"/>
        <v>lt003_entitygrp_eqty</v>
      </c>
      <c r="B537" s="142" t="s">
        <v>26</v>
      </c>
      <c r="C537" s="138" t="s">
        <v>26</v>
      </c>
      <c r="D537" s="134" t="s">
        <v>40</v>
      </c>
      <c r="E537" s="137" t="s">
        <v>336</v>
      </c>
      <c r="F537" s="137" t="s">
        <v>429</v>
      </c>
      <c r="G537" s="136" t="str">
        <f>VLOOKUP(A537,Plano_V3!$A$26:$G$592,7,0)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lt003_entityannl_trnvr_le</v>
      </c>
      <c r="B538" s="142" t="s">
        <v>26</v>
      </c>
      <c r="C538" s="138" t="s">
        <v>26</v>
      </c>
      <c r="D538" s="134" t="s">
        <v>40</v>
      </c>
      <c r="E538" s="137" t="s">
        <v>336</v>
      </c>
      <c r="F538" s="137" t="s">
        <v>430</v>
      </c>
      <c r="G538" s="136" t="str">
        <f>VLOOKUP(A538,Plano_V3!$A$26:$G$592,7,0)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lt003_entityeqty</v>
      </c>
      <c r="B539" s="142" t="s">
        <v>26</v>
      </c>
      <c r="C539" s="138" t="s">
        <v>26</v>
      </c>
      <c r="D539" s="134" t="s">
        <v>40</v>
      </c>
      <c r="E539" s="137" t="s">
        <v>336</v>
      </c>
      <c r="F539" s="137" t="s">
        <v>431</v>
      </c>
      <c r="G539" s="136" t="str">
        <f>VLOOKUP(A539,Plano_V3!$A$26:$G$592,7,0)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lt003_entitygrp_ttl_dbt</v>
      </c>
      <c r="B540" s="142" t="s">
        <v>26</v>
      </c>
      <c r="C540" s="138" t="s">
        <v>26</v>
      </c>
      <c r="D540" s="134" t="s">
        <v>40</v>
      </c>
      <c r="E540" s="137" t="s">
        <v>336</v>
      </c>
      <c r="F540" s="137" t="s">
        <v>432</v>
      </c>
      <c r="G540" s="136" t="str">
        <f>VLOOKUP(A540,Plano_V3!$A$26:$G$592,7,0)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lt003_entityttl_dbt</v>
      </c>
      <c r="B541" s="142" t="s">
        <v>26</v>
      </c>
      <c r="C541" s="138" t="s">
        <v>26</v>
      </c>
      <c r="D541" s="134" t="s">
        <v>40</v>
      </c>
      <c r="E541" s="137" t="s">
        <v>336</v>
      </c>
      <c r="F541" s="137" t="s">
        <v>433</v>
      </c>
      <c r="G541" s="136" t="str">
        <f>VLOOKUP(A541,Plano_V3!$A$26:$G$592,7,0)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lt003_entitycod_soc</v>
      </c>
      <c r="B542" s="142" t="s">
        <v>26</v>
      </c>
      <c r="C542" s="138" t="s">
        <v>26</v>
      </c>
      <c r="D542" s="134" t="s">
        <v>40</v>
      </c>
      <c r="E542" s="137" t="s">
        <v>336</v>
      </c>
      <c r="F542" s="137" t="s">
        <v>417</v>
      </c>
      <c r="G542" s="136" t="str">
        <f>VLOOKUP(A542,Plano_V3!$A$26:$G$592,7,0)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lt004_protectiondt_rfrnc</v>
      </c>
      <c r="B543" s="142" t="s">
        <v>26</v>
      </c>
      <c r="C543" s="138" t="s">
        <v>26</v>
      </c>
      <c r="D543" s="134" t="s">
        <v>40</v>
      </c>
      <c r="E543" s="137" t="s">
        <v>369</v>
      </c>
      <c r="F543" s="317" t="s">
        <v>399</v>
      </c>
      <c r="G543" s="136" t="str">
        <f>VLOOKUP(A543,Plano_V3!$A$26:$G$592,7,0)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lt004_protectionprtctn_id</v>
      </c>
      <c r="B544" s="142" t="s">
        <v>26</v>
      </c>
      <c r="C544" s="138" t="s">
        <v>26</v>
      </c>
      <c r="D544" s="134" t="s">
        <v>40</v>
      </c>
      <c r="E544" s="137" t="s">
        <v>369</v>
      </c>
      <c r="F544" s="317" t="s">
        <v>434</v>
      </c>
      <c r="G544" s="136" t="str">
        <f>VLOOKUP(A544,Plano_V3!$A$26:$G$592,7,0)</f>
        <v>1. Concluído</v>
      </c>
      <c r="H544" s="136" t="s">
        <v>613</v>
      </c>
      <c r="I544" s="143" t="s">
        <v>659</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9"/>
        <v>lt004_protectionrl_estt_clltrl_lctn</v>
      </c>
      <c r="B545" s="142" t="s">
        <v>26</v>
      </c>
      <c r="C545" s="138" t="s">
        <v>26</v>
      </c>
      <c r="D545" s="134" t="s">
        <v>40</v>
      </c>
      <c r="E545" s="137" t="s">
        <v>369</v>
      </c>
      <c r="F545" s="317" t="s">
        <v>435</v>
      </c>
      <c r="G545" s="136" t="str">
        <f>VLOOKUP(A545,Plano_V3!$A$26:$G$592,7,0)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lt004_protectionrl_estt_pst_cd</v>
      </c>
      <c r="B546" s="142" t="s">
        <v>26</v>
      </c>
      <c r="C546" s="138" t="s">
        <v>26</v>
      </c>
      <c r="D546" s="134" t="s">
        <v>40</v>
      </c>
      <c r="E546" s="137" t="s">
        <v>369</v>
      </c>
      <c r="F546" s="317" t="s">
        <v>436</v>
      </c>
      <c r="G546" s="136" t="str">
        <f>VLOOKUP(A546,Plano_V3!$A$26:$G$592,7,0)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9"/>
        <v>lt004_protectiontyp_prtctn</v>
      </c>
      <c r="B547" s="142" t="s">
        <v>26</v>
      </c>
      <c r="C547" s="138" t="s">
        <v>26</v>
      </c>
      <c r="D547" s="134" t="s">
        <v>40</v>
      </c>
      <c r="E547" s="137" t="s">
        <v>369</v>
      </c>
      <c r="F547" s="317" t="s">
        <v>437</v>
      </c>
      <c r="G547" s="136" t="str">
        <f>VLOOKUP(A547,Plano_V3!$A$26:$G$592,7,0)</f>
        <v>1. Concluído</v>
      </c>
      <c r="H547" s="136" t="s">
        <v>616</v>
      </c>
      <c r="I547" s="143" t="s">
        <v>1930</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9"/>
        <v>lt004_protectionorgnl_prtctn_vl</v>
      </c>
      <c r="B548" s="142" t="s">
        <v>26</v>
      </c>
      <c r="C548" s="138" t="s">
        <v>26</v>
      </c>
      <c r="D548" s="134" t="s">
        <v>40</v>
      </c>
      <c r="E548" s="137" t="s">
        <v>369</v>
      </c>
      <c r="F548" s="317" t="s">
        <v>438</v>
      </c>
      <c r="G548" s="136" t="str">
        <f>VLOOKUP(A548,Plano_V3!$A$26:$G$592,7,0)</f>
        <v>5. Em Correção</v>
      </c>
      <c r="H548" s="136" t="s">
        <v>616</v>
      </c>
      <c r="I548" s="143" t="s">
        <v>659</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9"/>
        <v>lt004_protectionprtctn_vl</v>
      </c>
      <c r="B549" s="142" t="s">
        <v>26</v>
      </c>
      <c r="C549" s="138" t="s">
        <v>26</v>
      </c>
      <c r="D549" s="134" t="s">
        <v>40</v>
      </c>
      <c r="E549" s="137" t="s">
        <v>369</v>
      </c>
      <c r="F549" s="317" t="s">
        <v>439</v>
      </c>
      <c r="G549" s="136" t="str">
        <f>VLOOKUP(A549,Plano_V3!$A$26:$G$592,7,0)</f>
        <v>1. Concluído</v>
      </c>
      <c r="H549" s="136" t="s">
        <v>616</v>
      </c>
      <c r="I549" s="143" t="s">
        <v>659</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9"/>
        <v>lt004_protectioncod_soc</v>
      </c>
      <c r="B550" s="142" t="s">
        <v>26</v>
      </c>
      <c r="C550" s="138" t="s">
        <v>26</v>
      </c>
      <c r="D550" s="134" t="s">
        <v>40</v>
      </c>
      <c r="E550" s="137" t="s">
        <v>369</v>
      </c>
      <c r="F550" s="137" t="s">
        <v>417</v>
      </c>
      <c r="G550" s="136" t="str">
        <f>VLOOKUP(A550,Plano_V3!$A$26:$G$592,7,0)</f>
        <v>1. Concluído</v>
      </c>
      <c r="H550" s="136" t="s">
        <v>613</v>
      </c>
      <c r="I550" s="143" t="s">
        <v>659</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9"/>
        <v>lt005_instr_entdt_rfrnc</v>
      </c>
      <c r="B551" s="142" t="s">
        <v>26</v>
      </c>
      <c r="C551" s="138" t="s">
        <v>26</v>
      </c>
      <c r="D551" s="134" t="s">
        <v>40</v>
      </c>
      <c r="E551" s="137" t="s">
        <v>440</v>
      </c>
      <c r="F551" s="137" t="s">
        <v>399</v>
      </c>
      <c r="G551" s="136" t="str">
        <f>VLOOKUP(A551,Plano_V3!$A$26:$G$592,7,0)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lt005_instr_ententty_id</v>
      </c>
      <c r="B552" s="142" t="s">
        <v>26</v>
      </c>
      <c r="C552" s="138" t="s">
        <v>26</v>
      </c>
      <c r="D552" s="134" t="s">
        <v>40</v>
      </c>
      <c r="E552" s="137" t="s">
        <v>440</v>
      </c>
      <c r="F552" s="137" t="s">
        <v>426</v>
      </c>
      <c r="G552" s="136" t="str">
        <f>VLOOKUP(A552,Plano_V3!$A$26:$G$592,7,0)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lt005_instr_entinstrmnt_id</v>
      </c>
      <c r="B553" s="142" t="s">
        <v>26</v>
      </c>
      <c r="C553" s="138" t="s">
        <v>26</v>
      </c>
      <c r="D553" s="134" t="s">
        <v>40</v>
      </c>
      <c r="E553" s="137" t="s">
        <v>440</v>
      </c>
      <c r="F553" s="137" t="s">
        <v>401</v>
      </c>
      <c r="G553" s="136" t="str">
        <f>VLOOKUP(A553,Plano_V3!$A$26:$G$592,7,0)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lt005_instr_entcod_soc</v>
      </c>
      <c r="B554" s="142" t="s">
        <v>26</v>
      </c>
      <c r="C554" s="138" t="s">
        <v>26</v>
      </c>
      <c r="D554" s="134" t="s">
        <v>40</v>
      </c>
      <c r="E554" s="137" t="s">
        <v>440</v>
      </c>
      <c r="F554" s="137" t="s">
        <v>417</v>
      </c>
      <c r="G554" s="136" t="str">
        <f>VLOOKUP(A554,Plano_V3!$A$26:$G$592,7,0)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lt005_instr_entmn_entty_id</v>
      </c>
      <c r="B555" s="142" t="s">
        <v>26</v>
      </c>
      <c r="C555" s="138" t="s">
        <v>26</v>
      </c>
      <c r="D555" s="134" t="s">
        <v>40</v>
      </c>
      <c r="E555" s="137" t="s">
        <v>440</v>
      </c>
      <c r="F555" s="137" t="s">
        <v>441</v>
      </c>
      <c r="G555" s="136" t="str">
        <f>VLOOKUP(A555,Plano_V3!$A$26:$G$592,7,0)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lt006_instr_protdt_rfrnc</v>
      </c>
      <c r="B556" s="142" t="s">
        <v>26</v>
      </c>
      <c r="C556" s="138" t="s">
        <v>26</v>
      </c>
      <c r="D556" s="134" t="s">
        <v>40</v>
      </c>
      <c r="E556" s="137" t="s">
        <v>442</v>
      </c>
      <c r="F556" s="137" t="s">
        <v>399</v>
      </c>
      <c r="G556" s="136" t="str">
        <f>VLOOKUP(A556,Plano_V3!$A$26:$G$592,7,0)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lt006_instr_protinstrmnt_id</v>
      </c>
      <c r="B557" s="142" t="s">
        <v>26</v>
      </c>
      <c r="C557" s="138" t="s">
        <v>26</v>
      </c>
      <c r="D557" s="134" t="s">
        <v>40</v>
      </c>
      <c r="E557" s="137" t="s">
        <v>442</v>
      </c>
      <c r="F557" s="137" t="s">
        <v>401</v>
      </c>
      <c r="G557" s="136" t="str">
        <f>VLOOKUP(A557,Plano_V3!$A$26:$G$592,7,0)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lt006_instr_protprtctn_id</v>
      </c>
      <c r="B558" s="142" t="s">
        <v>26</v>
      </c>
      <c r="C558" s="138" t="s">
        <v>26</v>
      </c>
      <c r="D558" s="134" t="s">
        <v>40</v>
      </c>
      <c r="E558" s="137" t="s">
        <v>442</v>
      </c>
      <c r="F558" s="137" t="s">
        <v>434</v>
      </c>
      <c r="G558" s="136" t="str">
        <f>VLOOKUP(A558,Plano_V3!$A$26:$G$592,7,0)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lt006_instr_protprtctn_allctd_vl</v>
      </c>
      <c r="B559" s="142" t="s">
        <v>26</v>
      </c>
      <c r="C559" s="138" t="s">
        <v>26</v>
      </c>
      <c r="D559" s="134" t="s">
        <v>40</v>
      </c>
      <c r="E559" s="137" t="s">
        <v>442</v>
      </c>
      <c r="F559" s="137" t="s">
        <v>443</v>
      </c>
      <c r="G559" s="136" t="str">
        <f>VLOOKUP(A559,Plano_V3!$A$26:$G$592,7,0)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lt006_instr_protcod_soc</v>
      </c>
      <c r="B560" s="142" t="s">
        <v>26</v>
      </c>
      <c r="C560" s="138" t="s">
        <v>26</v>
      </c>
      <c r="D560" s="134" t="s">
        <v>40</v>
      </c>
      <c r="E560" s="137" t="s">
        <v>442</v>
      </c>
      <c r="F560" s="137" t="s">
        <v>417</v>
      </c>
      <c r="G560" s="136" t="str">
        <f>VLOOKUP(A560,Plano_V3!$A$26:$G$592,7,0)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lt004_protectionflg_fin</v>
      </c>
      <c r="B561" s="142" t="s">
        <v>26</v>
      </c>
      <c r="C561" s="138" t="s">
        <v>26</v>
      </c>
      <c r="D561" s="134" t="s">
        <v>40</v>
      </c>
      <c r="E561" s="137" t="s">
        <v>369</v>
      </c>
      <c r="F561" s="137" t="s">
        <v>481</v>
      </c>
      <c r="G561" s="136" t="str">
        <f>VLOOKUP(A561,Plano_V3!$A$26:$G$592,7,0)</f>
        <v>1. Concluído</v>
      </c>
      <c r="H561" s="136" t="s">
        <v>613</v>
      </c>
      <c r="I561" s="143" t="s">
        <v>1932</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9"/>
        <v>lt004_protectionflg_exec</v>
      </c>
      <c r="B562" s="142" t="s">
        <v>26</v>
      </c>
      <c r="C562" s="138" t="s">
        <v>26</v>
      </c>
      <c r="D562" s="134" t="s">
        <v>40</v>
      </c>
      <c r="E562" s="137" t="s">
        <v>369</v>
      </c>
      <c r="F562" s="137" t="s">
        <v>1355</v>
      </c>
      <c r="G562" s="136" t="str">
        <f>VLOOKUP(A562,Plano_V3!$A$26:$G$592,7,0)</f>
        <v>1. Concluído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lt004_protectionflg_col</v>
      </c>
      <c r="B563" s="142" t="s">
        <v>26</v>
      </c>
      <c r="C563" s="138" t="s">
        <v>26</v>
      </c>
      <c r="D563" s="134" t="s">
        <v>40</v>
      </c>
      <c r="E563" s="137" t="s">
        <v>369</v>
      </c>
      <c r="F563" s="137" t="s">
        <v>480</v>
      </c>
      <c r="G563" s="136" t="str">
        <f>VLOOKUP(A563,Plano_V3!$A$26:$G$592,7,0)</f>
        <v>1. Concluído</v>
      </c>
      <c r="H563" s="136" t="s">
        <v>616</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lt004_protectionflg_pro</v>
      </c>
      <c r="B564" s="142" t="s">
        <v>26</v>
      </c>
      <c r="C564" s="138" t="s">
        <v>26</v>
      </c>
      <c r="D564" s="134" t="s">
        <v>40</v>
      </c>
      <c r="E564" s="137" t="s">
        <v>369</v>
      </c>
      <c r="F564" s="137" t="s">
        <v>482</v>
      </c>
      <c r="G564" s="136" t="str">
        <f>VLOOKUP(A564,Plano_V3!$A$26:$G$592,7,0)</f>
        <v>1. Concluído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0">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0"/>
        <v>modesg_inp_emss_nacearea_atividade</v>
      </c>
      <c r="B566" s="142" t="s">
        <v>26</v>
      </c>
      <c r="C566" s="138" t="s">
        <v>181</v>
      </c>
      <c r="D566" s="134" t="s">
        <v>40</v>
      </c>
      <c r="E566" s="135" t="s">
        <v>219</v>
      </c>
      <c r="F566" s="134" t="s">
        <v>660</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modesg_inp_emss_nacetipo_atividade</v>
      </c>
      <c r="B567" s="142" t="s">
        <v>26</v>
      </c>
      <c r="C567" s="138" t="s">
        <v>181</v>
      </c>
      <c r="D567" s="134" t="s">
        <v>40</v>
      </c>
      <c r="E567" s="135" t="s">
        <v>219</v>
      </c>
      <c r="F567" s="134" t="s">
        <v>661</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modesg_inp_emss_nacesub_tipo_atividade_1</v>
      </c>
      <c r="B568" s="142" t="s">
        <v>26</v>
      </c>
      <c r="C568" s="138" t="s">
        <v>181</v>
      </c>
      <c r="D568" s="134" t="s">
        <v>40</v>
      </c>
      <c r="E568" s="135" t="s">
        <v>219</v>
      </c>
      <c r="F568" s="134" t="s">
        <v>662</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modesg_inp_emss_nacesub_tipo_atividade_2</v>
      </c>
      <c r="B569" s="142" t="s">
        <v>26</v>
      </c>
      <c r="C569" s="138" t="s">
        <v>181</v>
      </c>
      <c r="D569" s="134" t="s">
        <v>40</v>
      </c>
      <c r="E569" s="135" t="s">
        <v>219</v>
      </c>
      <c r="F569" s="134" t="s">
        <v>663</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modesg_inp_emss_naceunidades_unidade_funcional</v>
      </c>
      <c r="B570" s="142" t="s">
        <v>26</v>
      </c>
      <c r="C570" s="138" t="s">
        <v>181</v>
      </c>
      <c r="D570" s="134" t="s">
        <v>40</v>
      </c>
      <c r="E570" s="135" t="s">
        <v>219</v>
      </c>
      <c r="F570" s="134" t="s">
        <v>664</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modesg_inp_emss_nacefator_emissao</v>
      </c>
      <c r="B571" s="142" t="s">
        <v>26</v>
      </c>
      <c r="C571" s="138" t="s">
        <v>181</v>
      </c>
      <c r="D571" s="134" t="s">
        <v>40</v>
      </c>
      <c r="E571" s="135" t="s">
        <v>219</v>
      </c>
      <c r="F571" s="134" t="s">
        <v>665</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modesg_inp_km_medios_emss_vclsmedia_scp1_emss</v>
      </c>
      <c r="B572" s="142" t="s">
        <v>26</v>
      </c>
      <c r="C572" s="138" t="s">
        <v>181</v>
      </c>
      <c r="D572" s="134" t="s">
        <v>40</v>
      </c>
      <c r="E572" s="135" t="s">
        <v>214</v>
      </c>
      <c r="F572" s="134" t="s">
        <v>666</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modesg_inp_km_medios_emss_vclsmedia_scp2_emss</v>
      </c>
      <c r="B573" s="142" t="s">
        <v>26</v>
      </c>
      <c r="C573" s="138" t="s">
        <v>181</v>
      </c>
      <c r="D573" s="134" t="s">
        <v>40</v>
      </c>
      <c r="E573" s="135" t="s">
        <v>214</v>
      </c>
      <c r="F573" s="134" t="s">
        <v>667</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modesg_inp_km_medios_emss_vclsmedia_scp3_emss</v>
      </c>
      <c r="B574" s="146" t="s">
        <v>26</v>
      </c>
      <c r="C574" s="147" t="s">
        <v>181</v>
      </c>
      <c r="D574" s="148" t="s">
        <v>40</v>
      </c>
      <c r="E574" s="149" t="s">
        <v>214</v>
      </c>
      <c r="F574" s="148" t="s">
        <v>668</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SUBTOTAL(9,R14:R592)</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SUBTOTAL(9,AX14:AX592)</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SUBTOTAL(9,CD14:CD592)</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SUBTOTAL(9,DJ14:DJ592)</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1998.4506250000031</v>
      </c>
      <c r="L24" s="185">
        <f>L25+L40+L204+L371+L456</f>
        <v>252</v>
      </c>
      <c r="M24" s="180">
        <f>((M25*J25)+(M40*J40)+(M204*J204)+(M371*J371)+(M456*J456))/J24</f>
        <v>0.57885304659498205</v>
      </c>
      <c r="N24" s="180">
        <f>((N25*L25)+(N40*L40)+(N204*L204)+(N371*L371)+(N456*L456))/L24</f>
        <v>0.86300636317328872</v>
      </c>
      <c r="O24" s="180">
        <f t="shared" ref="O24:O87" si="12">N24-M24</f>
        <v>0.28415331657830667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2"/>
        <v>-0.66666666666666674</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4. Validação EF</v>
      </c>
      <c r="H26" s="65">
        <f>VLOOKUP(A26,'Aux - pivots1'!$A:$B,2,0)</f>
        <v>5</v>
      </c>
      <c r="I26" s="189">
        <f>SUMIFS(Table1[Estimação (horas)],Table1[Tabela],Plano_V3!E26,Table1[Campo],Plano_V3!F26)</f>
        <v>8</v>
      </c>
      <c r="J26" s="189">
        <f t="shared" ref="J26:L38" si="14">I26/8</f>
        <v>1</v>
      </c>
      <c r="K26" s="189">
        <f>SUMIFS(Table1[Horas efetivas],Table1[Tabela],Plano_V3!E26,Table1[Campo],Plano_V3!F26)</f>
        <v>2</v>
      </c>
      <c r="L26" s="189">
        <f t="shared" si="14"/>
        <v>0.25</v>
      </c>
      <c r="M26" s="183"/>
      <c r="N26" s="183">
        <f>L26/J26</f>
        <v>0.25</v>
      </c>
      <c r="O26" s="183">
        <f t="shared" si="12"/>
        <v>0.25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4. Validação EF</v>
      </c>
      <c r="H27" s="65">
        <f>VLOOKUP(A27,'Aux - pivots1'!$A:$B,2,0)</f>
        <v>5</v>
      </c>
      <c r="I27" s="189">
        <f>SUMIFS(Table1[Estimação (horas)],Table1[Tabela],Plano_V3!E27,Table1[Campo],Plano_V3!F27)</f>
        <v>0.6</v>
      </c>
      <c r="J27" s="189">
        <f t="shared" si="14"/>
        <v>7.4999999999999997E-2</v>
      </c>
      <c r="K27" s="189">
        <f>SUMIFS(Table1[Horas efetivas],Table1[Tabela],Plano_V3!E27,Table1[Campo],Plano_V3!F27)</f>
        <v>0.15</v>
      </c>
      <c r="L27" s="189">
        <f t="shared" si="14"/>
        <v>1.8749999999999999E-2</v>
      </c>
      <c r="M27" s="183"/>
      <c r="N27" s="183">
        <f t="shared" ref="N27:N39" si="16">L27/J27</f>
        <v>0.25</v>
      </c>
      <c r="O27" s="183">
        <f t="shared" si="12"/>
        <v>0.25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4. Validação EF</v>
      </c>
      <c r="H28" s="65">
        <f>VLOOKUP(A28,'Aux - pivots1'!$A:$B,2,0)</f>
        <v>5</v>
      </c>
      <c r="I28" s="189">
        <f>SUMIFS(Table1[Estimação (horas)],Table1[Tabela],Plano_V3!E28,Table1[Campo],Plano_V3!F28)</f>
        <v>0.6</v>
      </c>
      <c r="J28" s="189">
        <f t="shared" si="14"/>
        <v>7.4999999999999997E-2</v>
      </c>
      <c r="K28" s="189">
        <f>SUMIFS(Table1[Horas efetivas],Table1[Tabela],Plano_V3!E28,Table1[Campo],Plano_V3!F28)</f>
        <v>0.15</v>
      </c>
      <c r="L28" s="189">
        <f t="shared" si="14"/>
        <v>1.8749999999999999E-2</v>
      </c>
      <c r="M28" s="183"/>
      <c r="N28" s="183">
        <f t="shared" si="16"/>
        <v>0.25</v>
      </c>
      <c r="O28" s="183">
        <f t="shared" si="12"/>
        <v>0.25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4. Validação EF</v>
      </c>
      <c r="H29" s="65">
        <f>VLOOKUP(A29,'Aux - pivots1'!$A:$B,2,0)</f>
        <v>5</v>
      </c>
      <c r="I29" s="189">
        <f>SUMIFS(Table1[Estimação (horas)],Table1[Tabela],Plano_V3!E29,Table1[Campo],Plano_V3!F29)</f>
        <v>0.6</v>
      </c>
      <c r="J29" s="189">
        <f t="shared" si="14"/>
        <v>7.4999999999999997E-2</v>
      </c>
      <c r="K29" s="189">
        <f>SUMIFS(Table1[Horas efetivas],Table1[Tabela],Plano_V3!E29,Table1[Campo],Plano_V3!F29)</f>
        <v>0.15</v>
      </c>
      <c r="L29" s="189">
        <f t="shared" si="14"/>
        <v>1.8749999999999999E-2</v>
      </c>
      <c r="M29" s="183"/>
      <c r="N29" s="183">
        <f t="shared" si="16"/>
        <v>0.25</v>
      </c>
      <c r="O29" s="183">
        <f t="shared" si="12"/>
        <v>0.25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4. Validação EF</v>
      </c>
      <c r="H30" s="65">
        <f>VLOOKUP(A30,'Aux - pivots1'!$A:$B,2,0)</f>
        <v>5</v>
      </c>
      <c r="I30" s="189">
        <f>SUMIFS(Table1[Estimação (horas)],Table1[Tabela],Plano_V3!E30,Table1[Campo],Plano_V3!F30)</f>
        <v>0.6</v>
      </c>
      <c r="J30" s="189">
        <f t="shared" si="14"/>
        <v>7.4999999999999997E-2</v>
      </c>
      <c r="K30" s="189">
        <f>SUMIFS(Table1[Horas efetivas],Table1[Tabela],Plano_V3!E30,Table1[Campo],Plano_V3!F30)</f>
        <v>0.15</v>
      </c>
      <c r="L30" s="189">
        <f t="shared" si="14"/>
        <v>1.8749999999999999E-2</v>
      </c>
      <c r="M30" s="183"/>
      <c r="N30" s="183">
        <f t="shared" si="16"/>
        <v>0.25</v>
      </c>
      <c r="O30" s="183">
        <f t="shared" si="12"/>
        <v>0.25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4. Validação EF</v>
      </c>
      <c r="H31" s="65">
        <f>VLOOKUP(A31,'Aux - pivots1'!$A:$B,2,0)</f>
        <v>5</v>
      </c>
      <c r="I31" s="189">
        <f>SUMIFS(Table1[Estimação (horas)],Table1[Tabela],Plano_V3!E31,Table1[Campo],Plano_V3!F31)</f>
        <v>0.6</v>
      </c>
      <c r="J31" s="189">
        <f t="shared" si="14"/>
        <v>7.4999999999999997E-2</v>
      </c>
      <c r="K31" s="189">
        <f>SUMIFS(Table1[Horas efetivas],Table1[Tabela],Plano_V3!E31,Table1[Campo],Plano_V3!F31)</f>
        <v>0.15</v>
      </c>
      <c r="L31" s="189">
        <f t="shared" si="14"/>
        <v>1.8749999999999999E-2</v>
      </c>
      <c r="M31" s="183"/>
      <c r="N31" s="183">
        <f t="shared" si="16"/>
        <v>0.25</v>
      </c>
      <c r="O31" s="183">
        <f t="shared" si="12"/>
        <v>0.25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4. Validação EF</v>
      </c>
      <c r="H32" s="65">
        <f>VLOOKUP(A32,'Aux - pivots1'!$A:$B,2,0)</f>
        <v>5</v>
      </c>
      <c r="I32" s="189">
        <f>SUMIFS(Table1[Estimação (horas)],Table1[Tabela],Plano_V3!E32,Table1[Campo],Plano_V3!F32)</f>
        <v>0.6</v>
      </c>
      <c r="J32" s="189">
        <f t="shared" si="14"/>
        <v>7.4999999999999997E-2</v>
      </c>
      <c r="K32" s="189">
        <f>SUMIFS(Table1[Horas efetivas],Table1[Tabela],Plano_V3!E32,Table1[Campo],Plano_V3!F32)</f>
        <v>0.15</v>
      </c>
      <c r="L32" s="189">
        <f t="shared" si="14"/>
        <v>1.8749999999999999E-2</v>
      </c>
      <c r="M32" s="183"/>
      <c r="N32" s="183">
        <f t="shared" si="16"/>
        <v>0.25</v>
      </c>
      <c r="O32" s="183">
        <f t="shared" si="12"/>
        <v>0.25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4. Validação EF</v>
      </c>
      <c r="H33" s="65">
        <f>VLOOKUP(A33,'Aux - pivots1'!$A:$B,2,0)</f>
        <v>5</v>
      </c>
      <c r="I33" s="189">
        <f>SUMIFS(Table1[Estimação (horas)],Table1[Tabela],Plano_V3!E33,Table1[Campo],Plano_V3!F33)</f>
        <v>0.6</v>
      </c>
      <c r="J33" s="189">
        <f t="shared" si="14"/>
        <v>7.4999999999999997E-2</v>
      </c>
      <c r="K33" s="189">
        <f>SUMIFS(Table1[Horas efetivas],Table1[Tabela],Plano_V3!E33,Table1[Campo],Plano_V3!F33)</f>
        <v>0.15</v>
      </c>
      <c r="L33" s="189">
        <f t="shared" si="14"/>
        <v>1.8749999999999999E-2</v>
      </c>
      <c r="M33" s="183"/>
      <c r="N33" s="183">
        <f t="shared" si="16"/>
        <v>0.25</v>
      </c>
      <c r="O33" s="183">
        <f t="shared" si="12"/>
        <v>0.25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4. Validação EF</v>
      </c>
      <c r="H34" s="65">
        <f>VLOOKUP(A34,'Aux - pivots1'!$A:$B,2,0)</f>
        <v>5</v>
      </c>
      <c r="I34" s="189">
        <f>SUMIFS(Table1[Estimação (horas)],Table1[Tabela],Plano_V3!E34,Table1[Campo],Plano_V3!F34)</f>
        <v>0.6</v>
      </c>
      <c r="J34" s="189">
        <f t="shared" si="14"/>
        <v>7.4999999999999997E-2</v>
      </c>
      <c r="K34" s="189">
        <f>SUMIFS(Table1[Horas efetivas],Table1[Tabela],Plano_V3!E34,Table1[Campo],Plano_V3!F34)</f>
        <v>0.15</v>
      </c>
      <c r="L34" s="189">
        <f t="shared" si="14"/>
        <v>1.8749999999999999E-2</v>
      </c>
      <c r="M34" s="183"/>
      <c r="N34" s="183">
        <f t="shared" si="16"/>
        <v>0.25</v>
      </c>
      <c r="O34" s="183">
        <f t="shared" si="12"/>
        <v>0.25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4. Validação EF</v>
      </c>
      <c r="H35" s="65">
        <f>VLOOKUP(A35,'Aux - pivots1'!$A:$B,2,0)</f>
        <v>5</v>
      </c>
      <c r="I35" s="189">
        <f>SUMIFS(Table1[Estimação (horas)],Table1[Tabela],Plano_V3!E35,Table1[Campo],Plano_V3!F35)</f>
        <v>0.6</v>
      </c>
      <c r="J35" s="189">
        <f t="shared" si="14"/>
        <v>7.4999999999999997E-2</v>
      </c>
      <c r="K35" s="189">
        <f>SUMIFS(Table1[Horas efetivas],Table1[Tabela],Plano_V3!E35,Table1[Campo],Plano_V3!F35)</f>
        <v>0.15</v>
      </c>
      <c r="L35" s="189">
        <f t="shared" si="14"/>
        <v>1.8749999999999999E-2</v>
      </c>
      <c r="M35" s="183"/>
      <c r="N35" s="183">
        <f t="shared" si="16"/>
        <v>0.25</v>
      </c>
      <c r="O35" s="183">
        <f t="shared" si="12"/>
        <v>0.25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4. Validação EF</v>
      </c>
      <c r="H36" s="65">
        <f>VLOOKUP(A36,'Aux - pivots1'!$A:$B,2,0)</f>
        <v>5</v>
      </c>
      <c r="I36" s="189">
        <f>SUMIFS(Table1[Estimação (horas)],Table1[Tabela],Plano_V3!E36,Table1[Campo],Plano_V3!F36)</f>
        <v>0.6</v>
      </c>
      <c r="J36" s="189">
        <f t="shared" si="14"/>
        <v>7.4999999999999997E-2</v>
      </c>
      <c r="K36" s="189">
        <f>SUMIFS(Table1[Horas efetivas],Table1[Tabela],Plano_V3!E36,Table1[Campo],Plano_V3!F36)</f>
        <v>0.15</v>
      </c>
      <c r="L36" s="189">
        <f t="shared" si="14"/>
        <v>1.8749999999999999E-2</v>
      </c>
      <c r="M36" s="183"/>
      <c r="N36" s="183">
        <f t="shared" si="16"/>
        <v>0.25</v>
      </c>
      <c r="O36" s="183">
        <f t="shared" si="12"/>
        <v>0.25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4. Validação EF</v>
      </c>
      <c r="H37" s="65">
        <f>VLOOKUP(A37,'Aux - pivots1'!$A:$B,2,0)</f>
        <v>5</v>
      </c>
      <c r="I37" s="189">
        <f>SUMIFS(Table1[Estimação (horas)],Table1[Tabela],Plano_V3!E37,Table1[Campo],Plano_V3!F37)</f>
        <v>0.6</v>
      </c>
      <c r="J37" s="189">
        <f t="shared" si="14"/>
        <v>7.4999999999999997E-2</v>
      </c>
      <c r="K37" s="189">
        <f>SUMIFS(Table1[Horas efetivas],Table1[Tabela],Plano_V3!E37,Table1[Campo],Plano_V3!F37)</f>
        <v>0.15</v>
      </c>
      <c r="L37" s="189">
        <f t="shared" si="14"/>
        <v>1.8749999999999999E-2</v>
      </c>
      <c r="M37" s="183"/>
      <c r="N37" s="183">
        <f t="shared" si="16"/>
        <v>0.25</v>
      </c>
      <c r="O37" s="183">
        <f t="shared" si="12"/>
        <v>0.25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4. Validação EF</v>
      </c>
      <c r="H38" s="65">
        <f>VLOOKUP(A38,'Aux - pivots1'!$A:$B,2,0)</f>
        <v>5</v>
      </c>
      <c r="I38" s="189">
        <f>SUMIFS(Table1[Estimação (horas)],Table1[Tabela],Plano_V3!E38,Table1[Campo],Plano_V3!F38)</f>
        <v>0.6</v>
      </c>
      <c r="J38" s="189">
        <f t="shared" si="14"/>
        <v>7.4999999999999997E-2</v>
      </c>
      <c r="K38" s="189">
        <f>SUMIFS(Table1[Horas efetivas],Table1[Tabela],Plano_V3!E38,Table1[Campo],Plano_V3!F38)</f>
        <v>0.15</v>
      </c>
      <c r="L38" s="189">
        <f t="shared" si="14"/>
        <v>1.8749999999999999E-2</v>
      </c>
      <c r="M38" s="183"/>
      <c r="N38" s="183">
        <f t="shared" si="16"/>
        <v>0.25</v>
      </c>
      <c r="O38" s="183">
        <f t="shared" si="12"/>
        <v>0.25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6"/>
        <v>0.25</v>
      </c>
      <c r="O39" s="183">
        <f t="shared" si="12"/>
        <v>0.25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SUM(I41:I203)</f>
        <v>835.65000000000259</v>
      </c>
      <c r="J40" s="188">
        <f>ROUNDUP(I40/8,0)</f>
        <v>105</v>
      </c>
      <c r="K40" s="188">
        <f>SUM(K41:K203)</f>
        <v>830.92500000000257</v>
      </c>
      <c r="L40" s="188">
        <f>ROUNDUP(K40/8,0)</f>
        <v>104</v>
      </c>
      <c r="M40" s="187">
        <f>SUMIFS(R40:ES40,$R$9:$ES$9,"S")/J40</f>
        <v>0.95238095238095233</v>
      </c>
      <c r="N40" s="187">
        <f>IFERROR(L40/J40,0)</f>
        <v>0.99047619047619051</v>
      </c>
      <c r="O40" s="187">
        <f t="shared" si="12"/>
        <v>3.8095238095238182E-2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3"/>
        <v>0.51249999999999996</v>
      </c>
      <c r="K140" s="189">
        <f>SUMIFS(Table1[Horas efetivas],Table1[Tabela],Plano_V3!E140,Table1[Campo],Plano_V3!F140)</f>
        <v>4.0999999999999996</v>
      </c>
      <c r="L140" s="189">
        <f t="shared" si="24"/>
        <v>0.51249999999999996</v>
      </c>
      <c r="M140" s="183"/>
      <c r="N140" s="183">
        <f t="shared" si="25"/>
        <v>1</v>
      </c>
      <c r="O140" s="183">
        <f t="shared" si="20"/>
        <v>1</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3"/>
        <v>0.51249999999999996</v>
      </c>
      <c r="K147" s="189">
        <f>SUMIFS(Table1[Horas efetivas],Table1[Tabela],Plano_V3!E147,Table1[Campo],Plano_V3!F147)</f>
        <v>4.0999999999999996</v>
      </c>
      <c r="L147" s="189">
        <f t="shared" si="24"/>
        <v>0.51249999999999996</v>
      </c>
      <c r="M147" s="183"/>
      <c r="N147" s="183">
        <f t="shared" si="25"/>
        <v>1</v>
      </c>
      <c r="O147" s="183">
        <f t="shared" si="20"/>
        <v>1</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6"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4"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3"/>
        <v>0.51249999999999996</v>
      </c>
      <c r="K162" s="189">
        <f>SUMIFS(Table1[Horas efetivas],Table1[Tabela],Plano_V3!E162,Table1[Campo],Plano_V3!F162)</f>
        <v>4.0999999999999996</v>
      </c>
      <c r="L162" s="189">
        <f t="shared" si="24"/>
        <v>0.51249999999999996</v>
      </c>
      <c r="M162" s="183"/>
      <c r="N162" s="183">
        <f t="shared" si="25"/>
        <v>1</v>
      </c>
      <c r="O162" s="183">
        <f t="shared" si="26"/>
        <v>1</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3"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29"/>
        <v>0.51249999999999996</v>
      </c>
      <c r="K171" s="189">
        <f>SUMIFS(Table1[Horas efetivas],Table1[Tabela],Plano_V3!E171,Table1[Campo],Plano_V3!F171)</f>
        <v>4.0999999999999996</v>
      </c>
      <c r="L171" s="189">
        <f t="shared" si="30"/>
        <v>0.51249999999999996</v>
      </c>
      <c r="M171" s="183"/>
      <c r="N171" s="183">
        <f t="shared" si="31"/>
        <v>1</v>
      </c>
      <c r="O171" s="183">
        <f t="shared" si="26"/>
        <v>1</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92.325000000000287</v>
      </c>
      <c r="L203" s="189">
        <f>K203/8</f>
        <v>11.540625000000036</v>
      </c>
      <c r="M203" s="183"/>
      <c r="N203" s="183">
        <f t="shared" si="31"/>
        <v>0.99434571890145396</v>
      </c>
      <c r="O203" s="183">
        <f t="shared" si="26"/>
        <v>0.99434571890145396</v>
      </c>
      <c r="P203" s="88"/>
      <c r="Q203" s="91">
        <f t="shared" si="27"/>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28"/>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26"/>
        <v>-8.6956521739130488E-2</v>
      </c>
      <c r="P204" s="194" t="s">
        <v>1929</v>
      </c>
      <c r="Q204" s="91">
        <f t="shared" si="27"/>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28"/>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37">I205/8</f>
        <v>1.0625</v>
      </c>
      <c r="K205" s="189">
        <f>SUMIFS(Table1[Horas efetivas],Table1[Tabela],Plano_V3!E205,Table1[Campo],Plano_V3!F205)</f>
        <v>8.5</v>
      </c>
      <c r="L205" s="189">
        <f>K205/8</f>
        <v>1.0625</v>
      </c>
      <c r="M205" s="183"/>
      <c r="N205" s="183">
        <f>L205/J205</f>
        <v>1</v>
      </c>
      <c r="O205" s="183">
        <f t="shared" si="26"/>
        <v>1</v>
      </c>
      <c r="P205" s="90" t="s">
        <v>39</v>
      </c>
      <c r="Q205" s="91">
        <f t="shared" si="27"/>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37"/>
        <v>7.4999999999999997E-2</v>
      </c>
      <c r="K206" s="189">
        <f>SUMIFS(Table1[Horas efetivas],Table1[Tabela],Plano_V3!E206,Table1[Campo],Plano_V3!F206)</f>
        <v>0.6</v>
      </c>
      <c r="L206" s="189">
        <f t="shared" ref="L206:L271" si="38">K206/8</f>
        <v>7.4999999999999997E-2</v>
      </c>
      <c r="M206" s="183"/>
      <c r="N206" s="183">
        <f t="shared" ref="N206:N271" si="39">L206/J206</f>
        <v>1</v>
      </c>
      <c r="O206" s="183">
        <f t="shared" si="26"/>
        <v>1</v>
      </c>
      <c r="P206" s="90" t="s">
        <v>39</v>
      </c>
      <c r="Q206" s="91">
        <f t="shared" si="27"/>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37"/>
        <v>7.4999999999999997E-2</v>
      </c>
      <c r="K207" s="189">
        <f>SUMIFS(Table1[Horas efetivas],Table1[Tabela],Plano_V3!E207,Table1[Campo],Plano_V3!F207)</f>
        <v>0.6</v>
      </c>
      <c r="L207" s="189">
        <f t="shared" si="38"/>
        <v>7.4999999999999997E-2</v>
      </c>
      <c r="M207" s="183"/>
      <c r="N207" s="183">
        <f t="shared" si="39"/>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37"/>
        <v>7.4999999999999997E-2</v>
      </c>
      <c r="K208" s="189">
        <f>SUMIFS(Table1[Horas efetivas],Table1[Tabela],Plano_V3!E208,Table1[Campo],Plano_V3!F208)</f>
        <v>0.6</v>
      </c>
      <c r="L208" s="189">
        <f t="shared" si="38"/>
        <v>7.4999999999999997E-2</v>
      </c>
      <c r="M208" s="183"/>
      <c r="N208" s="183">
        <f t="shared" si="39"/>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37"/>
        <v>7.4999999999999997E-2</v>
      </c>
      <c r="K209" s="189">
        <f>SUMIFS(Table1[Horas efetivas],Table1[Tabela],Plano_V3!E209,Table1[Campo],Plano_V3!F209)</f>
        <v>0.6</v>
      </c>
      <c r="L209" s="189">
        <f t="shared" si="38"/>
        <v>7.4999999999999997E-2</v>
      </c>
      <c r="M209" s="183"/>
      <c r="N209" s="183">
        <f t="shared" si="39"/>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37"/>
        <v>7.4999999999999997E-2</v>
      </c>
      <c r="K210" s="189">
        <f>SUMIFS(Table1[Horas efetivas],Table1[Tabela],Plano_V3!E210,Table1[Campo],Plano_V3!F210)</f>
        <v>0.6</v>
      </c>
      <c r="L210" s="189">
        <f t="shared" si="38"/>
        <v>7.4999999999999997E-2</v>
      </c>
      <c r="M210" s="183"/>
      <c r="N210" s="183">
        <f t="shared" si="39"/>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37"/>
        <v>7.4999999999999997E-2</v>
      </c>
      <c r="K211" s="189">
        <f>SUMIFS(Table1[Horas efetivas],Table1[Tabela],Plano_V3!E211,Table1[Campo],Plano_V3!F211)</f>
        <v>0.6</v>
      </c>
      <c r="L211" s="189">
        <f t="shared" si="38"/>
        <v>7.4999999999999997E-2</v>
      </c>
      <c r="M211" s="183"/>
      <c r="N211" s="183">
        <f t="shared" si="39"/>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37"/>
        <v>7.4999999999999997E-2</v>
      </c>
      <c r="K212" s="189">
        <f>SUMIFS(Table1[Horas efetivas],Table1[Tabela],Plano_V3!E212,Table1[Campo],Plano_V3!F212)</f>
        <v>0.6</v>
      </c>
      <c r="L212" s="189">
        <f t="shared" si="38"/>
        <v>7.4999999999999997E-2</v>
      </c>
      <c r="M212" s="183"/>
      <c r="N212" s="183">
        <f t="shared" si="39"/>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37"/>
        <v>7.4999999999999997E-2</v>
      </c>
      <c r="K213" s="189">
        <f>SUMIFS(Table1[Horas efetivas],Table1[Tabela],Plano_V3!E213,Table1[Campo],Plano_V3!F213)</f>
        <v>0.6</v>
      </c>
      <c r="L213" s="189">
        <f t="shared" si="38"/>
        <v>7.4999999999999997E-2</v>
      </c>
      <c r="M213" s="183"/>
      <c r="N213" s="183">
        <f t="shared" si="39"/>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37"/>
        <v>7.4999999999999997E-2</v>
      </c>
      <c r="K214" s="189">
        <f>SUMIFS(Table1[Horas efetivas],Table1[Tabela],Plano_V3!E214,Table1[Campo],Plano_V3!F214)</f>
        <v>0.6</v>
      </c>
      <c r="L214" s="189">
        <f t="shared" si="38"/>
        <v>7.4999999999999997E-2</v>
      </c>
      <c r="M214" s="183"/>
      <c r="N214" s="183">
        <f t="shared" si="39"/>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37"/>
        <v>7.4999999999999997E-2</v>
      </c>
      <c r="K215" s="189">
        <f>SUMIFS(Table1[Horas efetivas],Table1[Tabela],Plano_V3!E215,Table1[Campo],Plano_V3!F215)</f>
        <v>0.6</v>
      </c>
      <c r="L215" s="189">
        <f t="shared" si="38"/>
        <v>7.4999999999999997E-2</v>
      </c>
      <c r="M215" s="183"/>
      <c r="N215" s="183">
        <f t="shared" si="39"/>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37"/>
        <v>7.4999999999999997E-2</v>
      </c>
      <c r="K216" s="189">
        <f>SUMIFS(Table1[Horas efetivas],Table1[Tabela],Plano_V3!E216,Table1[Campo],Plano_V3!F216)</f>
        <v>0.6</v>
      </c>
      <c r="L216" s="189">
        <f t="shared" si="38"/>
        <v>7.4999999999999997E-2</v>
      </c>
      <c r="M216" s="183"/>
      <c r="N216" s="183">
        <f t="shared" si="39"/>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37"/>
        <v>7.4999999999999997E-2</v>
      </c>
      <c r="K217" s="189">
        <f>SUMIFS(Table1[Horas efetivas],Table1[Tabela],Plano_V3!E217,Table1[Campo],Plano_V3!F217)</f>
        <v>0.6</v>
      </c>
      <c r="L217" s="189">
        <f t="shared" si="38"/>
        <v>7.4999999999999997E-2</v>
      </c>
      <c r="M217" s="183"/>
      <c r="N217" s="183">
        <f t="shared" si="39"/>
        <v>1</v>
      </c>
      <c r="O217" s="183">
        <f t="shared" ref="O217:O280" si="40">N217-M217</f>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37"/>
        <v>7.4999999999999997E-2</v>
      </c>
      <c r="K218" s="189">
        <f>SUMIFS(Table1[Horas efetivas],Table1[Tabela],Plano_V3!E218,Table1[Campo],Plano_V3!F218)</f>
        <v>0.6</v>
      </c>
      <c r="L218" s="189">
        <f t="shared" si="38"/>
        <v>7.4999999999999997E-2</v>
      </c>
      <c r="M218" s="183"/>
      <c r="N218" s="183">
        <f t="shared" si="39"/>
        <v>1</v>
      </c>
      <c r="O218" s="183">
        <f t="shared" si="40"/>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37"/>
        <v>7.4999999999999997E-2</v>
      </c>
      <c r="K219" s="189">
        <f>SUMIFS(Table1[Horas efetivas],Table1[Tabela],Plano_V3!E219,Table1[Campo],Plano_V3!F219)</f>
        <v>0.6</v>
      </c>
      <c r="L219" s="189">
        <f t="shared" si="38"/>
        <v>7.4999999999999997E-2</v>
      </c>
      <c r="M219" s="183"/>
      <c r="N219" s="183">
        <f t="shared" si="39"/>
        <v>1</v>
      </c>
      <c r="O219" s="183">
        <f t="shared" si="40"/>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37"/>
        <v>7.4999999999999997E-2</v>
      </c>
      <c r="K220" s="189">
        <f>SUMIFS(Table1[Horas efetivas],Table1[Tabela],Plano_V3!E220,Table1[Campo],Plano_V3!F220)</f>
        <v>0.6</v>
      </c>
      <c r="L220" s="189">
        <f t="shared" si="38"/>
        <v>7.4999999999999997E-2</v>
      </c>
      <c r="M220" s="183"/>
      <c r="N220" s="183">
        <f t="shared" si="39"/>
        <v>1</v>
      </c>
      <c r="O220" s="183">
        <f t="shared" si="40"/>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37"/>
        <v>7.4999999999999997E-2</v>
      </c>
      <c r="K221" s="189">
        <f>SUMIFS(Table1[Horas efetivas],Table1[Tabela],Plano_V3!E221,Table1[Campo],Plano_V3!F221)</f>
        <v>0.6</v>
      </c>
      <c r="L221" s="189">
        <f t="shared" si="38"/>
        <v>7.4999999999999997E-2</v>
      </c>
      <c r="M221" s="183"/>
      <c r="N221" s="183">
        <f t="shared" si="39"/>
        <v>1</v>
      </c>
      <c r="O221" s="183">
        <f t="shared" si="40"/>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37"/>
        <v>7.4999999999999997E-2</v>
      </c>
      <c r="K222" s="189">
        <f>SUMIFS(Table1[Horas efetivas],Table1[Tabela],Plano_V3!E222,Table1[Campo],Plano_V3!F222)</f>
        <v>0.6</v>
      </c>
      <c r="L222" s="189">
        <f t="shared" si="38"/>
        <v>7.4999999999999997E-2</v>
      </c>
      <c r="M222" s="183"/>
      <c r="N222" s="183">
        <f t="shared" si="39"/>
        <v>1</v>
      </c>
      <c r="O222" s="183">
        <f t="shared" si="40"/>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37"/>
        <v>7.4999999999999997E-2</v>
      </c>
      <c r="K223" s="189">
        <f>SUMIFS(Table1[Horas efetivas],Table1[Tabela],Plano_V3!E223,Table1[Campo],Plano_V3!F223)</f>
        <v>0.6</v>
      </c>
      <c r="L223" s="189">
        <f t="shared" si="38"/>
        <v>7.4999999999999997E-2</v>
      </c>
      <c r="M223" s="183"/>
      <c r="N223" s="183">
        <f t="shared" si="39"/>
        <v>1</v>
      </c>
      <c r="O223" s="183">
        <f t="shared" si="40"/>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37"/>
        <v>7.4999999999999997E-2</v>
      </c>
      <c r="K224" s="189">
        <f>SUMIFS(Table1[Horas efetivas],Table1[Tabela],Plano_V3!E224,Table1[Campo],Plano_V3!F224)</f>
        <v>0.6</v>
      </c>
      <c r="L224" s="189">
        <f t="shared" si="38"/>
        <v>7.4999999999999997E-2</v>
      </c>
      <c r="M224" s="183"/>
      <c r="N224" s="183">
        <f t="shared" si="39"/>
        <v>1</v>
      </c>
      <c r="O224" s="183">
        <f t="shared" si="40"/>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37"/>
        <v>7.4999999999999997E-2</v>
      </c>
      <c r="K225" s="189">
        <f>SUMIFS(Table1[Horas efetivas],Table1[Tabela],Plano_V3!E225,Table1[Campo],Plano_V3!F225)</f>
        <v>0.6</v>
      </c>
      <c r="L225" s="189">
        <f t="shared" si="38"/>
        <v>7.4999999999999997E-2</v>
      </c>
      <c r="M225" s="183"/>
      <c r="N225" s="183">
        <f t="shared" si="39"/>
        <v>1</v>
      </c>
      <c r="O225" s="183">
        <f t="shared" si="40"/>
        <v>1</v>
      </c>
      <c r="P225" s="90" t="s">
        <v>39</v>
      </c>
      <c r="Q225" s="91">
        <f t="shared" ref="Q225:Q291" si="41">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37"/>
        <v>7.4999999999999997E-2</v>
      </c>
      <c r="K226" s="189">
        <f>SUMIFS(Table1[Horas efetivas],Table1[Tabela],Plano_V3!E226,Table1[Campo],Plano_V3!F226)</f>
        <v>0.15</v>
      </c>
      <c r="L226" s="189">
        <f t="shared" si="38"/>
        <v>1.8749999999999999E-2</v>
      </c>
      <c r="M226" s="183"/>
      <c r="N226" s="183">
        <f t="shared" si="39"/>
        <v>0.25</v>
      </c>
      <c r="O226" s="183">
        <f t="shared" si="40"/>
        <v>0.25</v>
      </c>
      <c r="P226" s="90" t="s">
        <v>39</v>
      </c>
      <c r="Q226" s="91">
        <f t="shared" si="41"/>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2">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37"/>
        <v>7.4999999999999997E-2</v>
      </c>
      <c r="K227" s="189">
        <f>SUMIFS(Table1[Horas efetivas],Table1[Tabela],Plano_V3!E227,Table1[Campo],Plano_V3!F227)</f>
        <v>0.6</v>
      </c>
      <c r="L227" s="189">
        <f t="shared" si="38"/>
        <v>7.4999999999999997E-2</v>
      </c>
      <c r="M227" s="183"/>
      <c r="N227" s="183">
        <f t="shared" si="39"/>
        <v>1</v>
      </c>
      <c r="O227" s="183">
        <f t="shared" si="40"/>
        <v>1</v>
      </c>
      <c r="P227" s="90" t="s">
        <v>39</v>
      </c>
      <c r="Q227" s="91">
        <f t="shared" si="41"/>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2"/>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37"/>
        <v>7.4999999999999997E-2</v>
      </c>
      <c r="K228" s="189">
        <f>SUMIFS(Table1[Horas efetivas],Table1[Tabela],Plano_V3!E228,Table1[Campo],Plano_V3!F228)</f>
        <v>0.6</v>
      </c>
      <c r="L228" s="189">
        <f t="shared" si="38"/>
        <v>7.4999999999999997E-2</v>
      </c>
      <c r="M228" s="183"/>
      <c r="N228" s="183">
        <f t="shared" si="39"/>
        <v>1</v>
      </c>
      <c r="O228" s="183">
        <f t="shared" si="40"/>
        <v>1</v>
      </c>
      <c r="P228" s="90" t="s">
        <v>39</v>
      </c>
      <c r="Q228" s="91">
        <f t="shared" si="41"/>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2"/>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37"/>
        <v>7.4999999999999997E-2</v>
      </c>
      <c r="K229" s="189">
        <f>SUMIFS(Table1[Horas efetivas],Table1[Tabela],Plano_V3!E229,Table1[Campo],Plano_V3!F229)</f>
        <v>0.6</v>
      </c>
      <c r="L229" s="189">
        <f t="shared" si="38"/>
        <v>7.4999999999999997E-2</v>
      </c>
      <c r="M229" s="183"/>
      <c r="N229" s="183">
        <f t="shared" si="39"/>
        <v>1</v>
      </c>
      <c r="O229" s="183">
        <f t="shared" si="40"/>
        <v>1</v>
      </c>
      <c r="P229" s="90" t="s">
        <v>39</v>
      </c>
      <c r="Q229" s="91">
        <f t="shared" si="41"/>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2"/>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37"/>
        <v>7.4999999999999997E-2</v>
      </c>
      <c r="K230" s="189">
        <f>SUMIFS(Table1[Horas efetivas],Table1[Tabela],Plano_V3!E230,Table1[Campo],Plano_V3!F230)</f>
        <v>0.6</v>
      </c>
      <c r="L230" s="189">
        <f t="shared" si="38"/>
        <v>7.4999999999999997E-2</v>
      </c>
      <c r="M230" s="183"/>
      <c r="N230" s="183">
        <f t="shared" si="39"/>
        <v>1</v>
      </c>
      <c r="O230" s="183">
        <f t="shared" si="40"/>
        <v>1</v>
      </c>
      <c r="P230" s="90" t="s">
        <v>39</v>
      </c>
      <c r="Q230" s="91">
        <f t="shared" si="41"/>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2"/>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37"/>
        <v>7.4999999999999997E-2</v>
      </c>
      <c r="K231" s="189">
        <f>SUMIFS(Table1[Horas efetivas],Table1[Tabela],Plano_V3!E231,Table1[Campo],Plano_V3!F231)</f>
        <v>0.6</v>
      </c>
      <c r="L231" s="189">
        <f t="shared" si="38"/>
        <v>7.4999999999999997E-2</v>
      </c>
      <c r="M231" s="183"/>
      <c r="N231" s="183">
        <f t="shared" si="39"/>
        <v>1</v>
      </c>
      <c r="O231" s="183">
        <f t="shared" si="40"/>
        <v>1</v>
      </c>
      <c r="P231" s="90" t="s">
        <v>39</v>
      </c>
      <c r="Q231" s="91">
        <f t="shared" si="41"/>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2"/>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37"/>
        <v>7.4999999999999997E-2</v>
      </c>
      <c r="K232" s="189">
        <f>SUMIFS(Table1[Horas efetivas],Table1[Tabela],Plano_V3!E232,Table1[Campo],Plano_V3!F232)</f>
        <v>0.6</v>
      </c>
      <c r="L232" s="189">
        <f t="shared" si="38"/>
        <v>7.4999999999999997E-2</v>
      </c>
      <c r="M232" s="183"/>
      <c r="N232" s="183">
        <f t="shared" si="39"/>
        <v>1</v>
      </c>
      <c r="O232" s="183">
        <f t="shared" si="40"/>
        <v>1</v>
      </c>
      <c r="P232" s="90" t="s">
        <v>39</v>
      </c>
      <c r="Q232" s="91">
        <f t="shared" si="41"/>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2"/>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37"/>
        <v>7.4999999999999997E-2</v>
      </c>
      <c r="K233" s="189">
        <f>SUMIFS(Table1[Horas efetivas],Table1[Tabela],Plano_V3!E233,Table1[Campo],Plano_V3!F233)</f>
        <v>0.6</v>
      </c>
      <c r="L233" s="189">
        <f t="shared" si="38"/>
        <v>7.4999999999999997E-2</v>
      </c>
      <c r="M233" s="183"/>
      <c r="N233" s="183">
        <f t="shared" si="39"/>
        <v>1</v>
      </c>
      <c r="O233" s="183">
        <f t="shared" si="40"/>
        <v>1</v>
      </c>
      <c r="P233" s="90" t="s">
        <v>39</v>
      </c>
      <c r="Q233" s="91">
        <f t="shared" si="41"/>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I234/8</f>
        <v>7.4999999999999997E-2</v>
      </c>
      <c r="K234" s="189">
        <f>SUMIFS(Table1[Horas efetivas],Table1[Tabela],Plano_V3!E234,Table1[Campo],Plano_V3!F234)</f>
        <v>0</v>
      </c>
      <c r="L234" s="189">
        <f>K234/8</f>
        <v>0</v>
      </c>
      <c r="M234" s="183"/>
      <c r="N234" s="183">
        <f>L234/J234</f>
        <v>0</v>
      </c>
      <c r="O234" s="183">
        <f t="shared" si="40"/>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0"/>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2"/>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37"/>
        <v>1.0625</v>
      </c>
      <c r="K236" s="189">
        <f>SUMIFS(Table1[Horas efetivas],Table1[Tabela],Plano_V3!E236,Table1[Campo],Plano_V3!F236)</f>
        <v>8.5</v>
      </c>
      <c r="L236" s="189">
        <f t="shared" si="38"/>
        <v>1.0625</v>
      </c>
      <c r="M236" s="183"/>
      <c r="N236" s="183">
        <f t="shared" si="39"/>
        <v>1</v>
      </c>
      <c r="O236" s="183">
        <f t="shared" si="40"/>
        <v>1</v>
      </c>
      <c r="P236" s="90" t="s">
        <v>39</v>
      </c>
      <c r="Q236" s="91">
        <f t="shared" si="41"/>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2"/>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37"/>
        <v>1.0625</v>
      </c>
      <c r="K237" s="189">
        <f>SUMIFS(Table1[Horas efetivas],Table1[Tabela],Plano_V3!E237,Table1[Campo],Plano_V3!F237)</f>
        <v>8.5</v>
      </c>
      <c r="L237" s="189">
        <f t="shared" si="38"/>
        <v>1.0625</v>
      </c>
      <c r="M237" s="183"/>
      <c r="N237" s="183">
        <f t="shared" si="39"/>
        <v>1</v>
      </c>
      <c r="O237" s="183">
        <f t="shared" si="40"/>
        <v>1</v>
      </c>
      <c r="P237" s="90" t="s">
        <v>39</v>
      </c>
      <c r="Q237" s="91">
        <f t="shared" si="41"/>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2"/>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37"/>
        <v>1.0625</v>
      </c>
      <c r="K238" s="189">
        <f>SUMIFS(Table1[Horas efetivas],Table1[Tabela],Plano_V3!E238,Table1[Campo],Plano_V3!F238)</f>
        <v>8.5</v>
      </c>
      <c r="L238" s="189">
        <f t="shared" si="38"/>
        <v>1.0625</v>
      </c>
      <c r="M238" s="183"/>
      <c r="N238" s="183">
        <f t="shared" si="39"/>
        <v>1</v>
      </c>
      <c r="O238" s="183">
        <f t="shared" si="40"/>
        <v>1</v>
      </c>
      <c r="P238" s="90" t="s">
        <v>39</v>
      </c>
      <c r="Q238" s="91">
        <f t="shared" si="41"/>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2"/>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37"/>
        <v>1.0625</v>
      </c>
      <c r="K239" s="189">
        <f>SUMIFS(Table1[Horas efetivas],Table1[Tabela],Plano_V3!E239,Table1[Campo],Plano_V3!F239)</f>
        <v>8.5</v>
      </c>
      <c r="L239" s="189">
        <f t="shared" si="38"/>
        <v>1.0625</v>
      </c>
      <c r="M239" s="183"/>
      <c r="N239" s="183">
        <f t="shared" si="39"/>
        <v>1</v>
      </c>
      <c r="O239" s="183">
        <f t="shared" si="40"/>
        <v>1</v>
      </c>
      <c r="P239" s="90" t="s">
        <v>39</v>
      </c>
      <c r="Q239" s="91">
        <f t="shared" si="41"/>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2"/>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37"/>
        <v>1.0625</v>
      </c>
      <c r="K240" s="189">
        <f>SUMIFS(Table1[Horas efetivas],Table1[Tabela],Plano_V3!E240,Table1[Campo],Plano_V3!F240)</f>
        <v>8.5</v>
      </c>
      <c r="L240" s="189">
        <f t="shared" si="38"/>
        <v>1.0625</v>
      </c>
      <c r="M240" s="183"/>
      <c r="N240" s="183">
        <f t="shared" si="39"/>
        <v>1</v>
      </c>
      <c r="O240" s="183">
        <f t="shared" si="40"/>
        <v>1</v>
      </c>
      <c r="P240" s="90" t="s">
        <v>39</v>
      </c>
      <c r="Q240" s="91">
        <f t="shared" si="41"/>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2"/>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37"/>
        <v>1.0625</v>
      </c>
      <c r="K241" s="189">
        <f>SUMIFS(Table1[Horas efetivas],Table1[Tabela],Plano_V3!E241,Table1[Campo],Plano_V3!F241)</f>
        <v>8.5</v>
      </c>
      <c r="L241" s="189">
        <f t="shared" si="38"/>
        <v>1.0625</v>
      </c>
      <c r="M241" s="183"/>
      <c r="N241" s="183">
        <f t="shared" si="39"/>
        <v>1</v>
      </c>
      <c r="O241" s="183">
        <f t="shared" si="40"/>
        <v>1</v>
      </c>
      <c r="P241" s="90" t="s">
        <v>39</v>
      </c>
      <c r="Q241" s="91">
        <f t="shared" si="41"/>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2"/>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37"/>
        <v>1.0625</v>
      </c>
      <c r="K242" s="189">
        <f>SUMIFS(Table1[Horas efetivas],Table1[Tabela],Plano_V3!E242,Table1[Campo],Plano_V3!F242)</f>
        <v>8.5</v>
      </c>
      <c r="L242" s="189">
        <f t="shared" si="38"/>
        <v>1.0625</v>
      </c>
      <c r="M242" s="183"/>
      <c r="N242" s="183">
        <f t="shared" si="39"/>
        <v>1</v>
      </c>
      <c r="O242" s="183">
        <f t="shared" si="40"/>
        <v>1</v>
      </c>
      <c r="P242" s="90" t="s">
        <v>39</v>
      </c>
      <c r="Q242" s="91">
        <f t="shared" si="41"/>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2"/>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37"/>
        <v>1.0625</v>
      </c>
      <c r="K243" s="189">
        <f>SUMIFS(Table1[Horas efetivas],Table1[Tabela],Plano_V3!E243,Table1[Campo],Plano_V3!F243)</f>
        <v>8.5</v>
      </c>
      <c r="L243" s="189">
        <f t="shared" si="38"/>
        <v>1.0625</v>
      </c>
      <c r="M243" s="183"/>
      <c r="N243" s="183">
        <f t="shared" si="39"/>
        <v>1</v>
      </c>
      <c r="O243" s="183">
        <f t="shared" si="40"/>
        <v>1</v>
      </c>
      <c r="P243" s="90" t="s">
        <v>39</v>
      </c>
      <c r="Q243" s="91">
        <f t="shared" si="41"/>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2"/>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37"/>
        <v>6.25E-2</v>
      </c>
      <c r="K244" s="189">
        <f>SUMIFS(Table1[Horas efetivas],Table1[Tabela],Plano_V3!E244,Table1[Campo],Plano_V3!F244)</f>
        <v>0.5</v>
      </c>
      <c r="L244" s="189">
        <f t="shared" si="38"/>
        <v>6.25E-2</v>
      </c>
      <c r="M244" s="183"/>
      <c r="N244" s="183">
        <f t="shared" si="39"/>
        <v>1</v>
      </c>
      <c r="O244" s="183">
        <f t="shared" si="40"/>
        <v>1</v>
      </c>
      <c r="P244" s="90" t="s">
        <v>39</v>
      </c>
      <c r="Q244" s="91">
        <f t="shared" si="41"/>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2"/>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37"/>
        <v>7.4999999999999997E-2</v>
      </c>
      <c r="K245" s="189">
        <f>SUMIFS(Table1[Horas efetivas],Table1[Tabela],Plano_V3!E245,Table1[Campo],Plano_V3!F245)</f>
        <v>0.6</v>
      </c>
      <c r="L245" s="189">
        <f t="shared" si="38"/>
        <v>7.4999999999999997E-2</v>
      </c>
      <c r="M245" s="183"/>
      <c r="N245" s="183">
        <f t="shared" si="39"/>
        <v>1</v>
      </c>
      <c r="O245" s="183">
        <f t="shared" si="40"/>
        <v>1</v>
      </c>
      <c r="P245" s="90" t="s">
        <v>39</v>
      </c>
      <c r="Q245" s="91">
        <f t="shared" si="41"/>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2"/>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37"/>
        <v>7.4999999999999997E-2</v>
      </c>
      <c r="K246" s="189">
        <f>SUMIFS(Table1[Horas efetivas],Table1[Tabela],Plano_V3!E246,Table1[Campo],Plano_V3!F246)</f>
        <v>0.6</v>
      </c>
      <c r="L246" s="189">
        <f t="shared" si="38"/>
        <v>7.4999999999999997E-2</v>
      </c>
      <c r="M246" s="183"/>
      <c r="N246" s="183">
        <f t="shared" si="39"/>
        <v>1</v>
      </c>
      <c r="O246" s="183">
        <f t="shared" si="40"/>
        <v>1</v>
      </c>
      <c r="P246" s="90" t="s">
        <v>39</v>
      </c>
      <c r="Q246" s="91">
        <f t="shared" si="41"/>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2"/>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37"/>
        <v>6.25E-2</v>
      </c>
      <c r="K247" s="189">
        <f>SUMIFS(Table1[Horas efetivas],Table1[Tabela],Plano_V3!E247,Table1[Campo],Plano_V3!F247)</f>
        <v>0.5</v>
      </c>
      <c r="L247" s="189">
        <f t="shared" si="38"/>
        <v>6.25E-2</v>
      </c>
      <c r="M247" s="183"/>
      <c r="N247" s="183">
        <f t="shared" si="39"/>
        <v>1</v>
      </c>
      <c r="O247" s="183">
        <f t="shared" si="40"/>
        <v>1</v>
      </c>
      <c r="P247" s="90" t="s">
        <v>39</v>
      </c>
      <c r="Q247" s="91">
        <f t="shared" si="41"/>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2"/>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37"/>
        <v>7.4999999999999997E-2</v>
      </c>
      <c r="K248" s="189">
        <f>SUMIFS(Table1[Horas efetivas],Table1[Tabela],Plano_V3!E248,Table1[Campo],Plano_V3!F248)</f>
        <v>0.6</v>
      </c>
      <c r="L248" s="189">
        <f t="shared" si="38"/>
        <v>7.4999999999999997E-2</v>
      </c>
      <c r="M248" s="183"/>
      <c r="N248" s="183">
        <f t="shared" si="39"/>
        <v>1</v>
      </c>
      <c r="O248" s="183">
        <f t="shared" si="40"/>
        <v>1</v>
      </c>
      <c r="P248" s="90" t="s">
        <v>39</v>
      </c>
      <c r="Q248" s="91">
        <f t="shared" si="41"/>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2"/>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37"/>
        <v>7.4999999999999997E-2</v>
      </c>
      <c r="K249" s="189">
        <f>SUMIFS(Table1[Horas efetivas],Table1[Tabela],Plano_V3!E249,Table1[Campo],Plano_V3!F249)</f>
        <v>0.6</v>
      </c>
      <c r="L249" s="189">
        <f t="shared" si="38"/>
        <v>7.4999999999999997E-2</v>
      </c>
      <c r="M249" s="183"/>
      <c r="N249" s="183">
        <f t="shared" si="39"/>
        <v>1</v>
      </c>
      <c r="O249" s="183">
        <f t="shared" si="40"/>
        <v>1</v>
      </c>
      <c r="P249" s="90" t="s">
        <v>39</v>
      </c>
      <c r="Q249" s="91">
        <f t="shared" si="41"/>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2"/>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37"/>
        <v>7.4999999999999997E-2</v>
      </c>
      <c r="K250" s="189">
        <f>SUMIFS(Table1[Horas efetivas],Table1[Tabela],Plano_V3!E250,Table1[Campo],Plano_V3!F250)</f>
        <v>0.6</v>
      </c>
      <c r="L250" s="189">
        <f t="shared" si="38"/>
        <v>7.4999999999999997E-2</v>
      </c>
      <c r="M250" s="183"/>
      <c r="N250" s="183">
        <f t="shared" si="39"/>
        <v>1</v>
      </c>
      <c r="O250" s="183">
        <f t="shared" si="40"/>
        <v>1</v>
      </c>
      <c r="P250" s="90" t="s">
        <v>39</v>
      </c>
      <c r="Q250" s="91">
        <f t="shared" si="41"/>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2"/>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37"/>
        <v>7.4999999999999997E-2</v>
      </c>
      <c r="K251" s="189">
        <f>SUMIFS(Table1[Horas efetivas],Table1[Tabela],Plano_V3!E251,Table1[Campo],Plano_V3!F251)</f>
        <v>0.6</v>
      </c>
      <c r="L251" s="189">
        <f t="shared" si="38"/>
        <v>7.4999999999999997E-2</v>
      </c>
      <c r="M251" s="183"/>
      <c r="N251" s="183">
        <f t="shared" si="39"/>
        <v>1</v>
      </c>
      <c r="O251" s="183">
        <f t="shared" si="40"/>
        <v>1</v>
      </c>
      <c r="P251" s="90" t="s">
        <v>39</v>
      </c>
      <c r="Q251" s="91">
        <f t="shared" si="41"/>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2"/>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37"/>
        <v>7.4999999999999997E-2</v>
      </c>
      <c r="K252" s="189">
        <f>SUMIFS(Table1[Horas efetivas],Table1[Tabela],Plano_V3!E252,Table1[Campo],Plano_V3!F252)</f>
        <v>0.6</v>
      </c>
      <c r="L252" s="189">
        <f t="shared" si="38"/>
        <v>7.4999999999999997E-2</v>
      </c>
      <c r="M252" s="183"/>
      <c r="N252" s="183">
        <f t="shared" si="39"/>
        <v>1</v>
      </c>
      <c r="O252" s="183">
        <f t="shared" si="40"/>
        <v>1</v>
      </c>
      <c r="P252" s="90" t="s">
        <v>39</v>
      </c>
      <c r="Q252" s="91">
        <f t="shared" si="41"/>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2"/>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37"/>
        <v>7.4999999999999997E-2</v>
      </c>
      <c r="K253" s="189">
        <f>SUMIFS(Table1[Horas efetivas],Table1[Tabela],Plano_V3!E253,Table1[Campo],Plano_V3!F253)</f>
        <v>0.6</v>
      </c>
      <c r="L253" s="189">
        <f t="shared" si="38"/>
        <v>7.4999999999999997E-2</v>
      </c>
      <c r="M253" s="183"/>
      <c r="N253" s="183">
        <f t="shared" si="39"/>
        <v>1</v>
      </c>
      <c r="O253" s="183">
        <f t="shared" si="40"/>
        <v>1</v>
      </c>
      <c r="P253" s="90" t="s">
        <v>39</v>
      </c>
      <c r="Q253" s="91">
        <f t="shared" si="41"/>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2"/>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37"/>
        <v>7.4999999999999997E-2</v>
      </c>
      <c r="K254" s="189">
        <f>SUMIFS(Table1[Horas efetivas],Table1[Tabela],Plano_V3!E254,Table1[Campo],Plano_V3!F254)</f>
        <v>0.6</v>
      </c>
      <c r="L254" s="189">
        <f t="shared" si="38"/>
        <v>7.4999999999999997E-2</v>
      </c>
      <c r="M254" s="183"/>
      <c r="N254" s="183">
        <f t="shared" si="39"/>
        <v>1</v>
      </c>
      <c r="O254" s="183">
        <f t="shared" si="40"/>
        <v>1</v>
      </c>
      <c r="P254" s="90" t="s">
        <v>39</v>
      </c>
      <c r="Q254" s="91">
        <f t="shared" si="41"/>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2"/>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37"/>
        <v>7.4999999999999997E-2</v>
      </c>
      <c r="K255" s="189">
        <f>SUMIFS(Table1[Horas efetivas],Table1[Tabela],Plano_V3!E255,Table1[Campo],Plano_V3!F255)</f>
        <v>0.6</v>
      </c>
      <c r="L255" s="189">
        <f t="shared" si="38"/>
        <v>7.4999999999999997E-2</v>
      </c>
      <c r="M255" s="183"/>
      <c r="N255" s="183">
        <f t="shared" si="39"/>
        <v>1</v>
      </c>
      <c r="O255" s="183">
        <f t="shared" si="40"/>
        <v>1</v>
      </c>
      <c r="P255" s="90" t="s">
        <v>39</v>
      </c>
      <c r="Q255" s="91">
        <f t="shared" si="41"/>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2"/>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37"/>
        <v>7.4999999999999997E-2</v>
      </c>
      <c r="K256" s="189">
        <f>SUMIFS(Table1[Horas efetivas],Table1[Tabela],Plano_V3!E256,Table1[Campo],Plano_V3!F256)</f>
        <v>0.6</v>
      </c>
      <c r="L256" s="189">
        <f t="shared" si="38"/>
        <v>7.4999999999999997E-2</v>
      </c>
      <c r="M256" s="183"/>
      <c r="N256" s="183">
        <f t="shared" si="39"/>
        <v>1</v>
      </c>
      <c r="O256" s="183">
        <f t="shared" si="40"/>
        <v>1</v>
      </c>
      <c r="P256" s="90" t="s">
        <v>39</v>
      </c>
      <c r="Q256" s="91">
        <f t="shared" si="41"/>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2"/>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37"/>
        <v>7.4999999999999997E-2</v>
      </c>
      <c r="K257" s="189">
        <f>SUMIFS(Table1[Horas efetivas],Table1[Tabela],Plano_V3!E257,Table1[Campo],Plano_V3!F257)</f>
        <v>0.6</v>
      </c>
      <c r="L257" s="189">
        <f t="shared" si="38"/>
        <v>7.4999999999999997E-2</v>
      </c>
      <c r="M257" s="183"/>
      <c r="N257" s="183">
        <f t="shared" si="39"/>
        <v>1</v>
      </c>
      <c r="O257" s="183">
        <f t="shared" si="40"/>
        <v>1</v>
      </c>
      <c r="P257" s="90" t="s">
        <v>39</v>
      </c>
      <c r="Q257" s="91">
        <f t="shared" si="41"/>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2"/>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37"/>
        <v>7.4999999999999997E-2</v>
      </c>
      <c r="K258" s="189">
        <f>SUMIFS(Table1[Horas efetivas],Table1[Tabela],Plano_V3!E258,Table1[Campo],Plano_V3!F258)</f>
        <v>0.6</v>
      </c>
      <c r="L258" s="189">
        <f t="shared" si="38"/>
        <v>7.4999999999999997E-2</v>
      </c>
      <c r="M258" s="183"/>
      <c r="N258" s="183">
        <f t="shared" si="39"/>
        <v>1</v>
      </c>
      <c r="O258" s="183">
        <f t="shared" si="40"/>
        <v>1</v>
      </c>
      <c r="P258" s="90" t="s">
        <v>39</v>
      </c>
      <c r="Q258" s="91">
        <f t="shared" si="41"/>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2"/>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37"/>
        <v>7.4999999999999997E-2</v>
      </c>
      <c r="K259" s="189">
        <f>SUMIFS(Table1[Horas efetivas],Table1[Tabela],Plano_V3!E259,Table1[Campo],Plano_V3!F259)</f>
        <v>0.6</v>
      </c>
      <c r="L259" s="189">
        <f t="shared" si="38"/>
        <v>7.4999999999999997E-2</v>
      </c>
      <c r="M259" s="183"/>
      <c r="N259" s="183">
        <f t="shared" si="39"/>
        <v>1</v>
      </c>
      <c r="O259" s="183">
        <f t="shared" si="40"/>
        <v>1</v>
      </c>
      <c r="P259" s="90" t="s">
        <v>39</v>
      </c>
      <c r="Q259" s="91">
        <f t="shared" si="41"/>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2"/>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37"/>
        <v>7.4999999999999997E-2</v>
      </c>
      <c r="K260" s="189">
        <f>SUMIFS(Table1[Horas efetivas],Table1[Tabela],Plano_V3!E260,Table1[Campo],Plano_V3!F260)</f>
        <v>0.6</v>
      </c>
      <c r="L260" s="189">
        <f t="shared" si="38"/>
        <v>7.4999999999999997E-2</v>
      </c>
      <c r="M260" s="183"/>
      <c r="N260" s="183">
        <f t="shared" si="39"/>
        <v>1</v>
      </c>
      <c r="O260" s="183">
        <f t="shared" si="40"/>
        <v>1</v>
      </c>
      <c r="P260" s="90" t="s">
        <v>39</v>
      </c>
      <c r="Q260" s="91">
        <f t="shared" si="41"/>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2"/>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37"/>
        <v>6.25E-2</v>
      </c>
      <c r="K261" s="189">
        <f>SUMIFS(Table1[Horas efetivas],Table1[Tabela],Plano_V3!E261,Table1[Campo],Plano_V3!F261)</f>
        <v>0.5</v>
      </c>
      <c r="L261" s="189">
        <f t="shared" si="38"/>
        <v>6.25E-2</v>
      </c>
      <c r="M261" s="183"/>
      <c r="N261" s="183">
        <f t="shared" si="39"/>
        <v>1</v>
      </c>
      <c r="O261" s="183">
        <f t="shared" si="40"/>
        <v>1</v>
      </c>
      <c r="P261" s="90" t="s">
        <v>39</v>
      </c>
      <c r="Q261" s="91">
        <f t="shared" si="41"/>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2"/>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37"/>
        <v>7.4999999999999997E-2</v>
      </c>
      <c r="K262" s="189">
        <f>SUMIFS(Table1[Horas efetivas],Table1[Tabela],Plano_V3!E262,Table1[Campo],Plano_V3!F262)</f>
        <v>0.6</v>
      </c>
      <c r="L262" s="189">
        <f t="shared" si="38"/>
        <v>7.4999999999999997E-2</v>
      </c>
      <c r="M262" s="183"/>
      <c r="N262" s="183">
        <f t="shared" si="39"/>
        <v>1</v>
      </c>
      <c r="O262" s="183">
        <f t="shared" si="40"/>
        <v>1</v>
      </c>
      <c r="P262" s="90" t="s">
        <v>39</v>
      </c>
      <c r="Q262" s="91">
        <f t="shared" si="41"/>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2"/>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37"/>
        <v>7.4999999999999997E-2</v>
      </c>
      <c r="K263" s="189">
        <f>SUMIFS(Table1[Horas efetivas],Table1[Tabela],Plano_V3!E263,Table1[Campo],Plano_V3!F263)</f>
        <v>0.6</v>
      </c>
      <c r="L263" s="189">
        <f t="shared" si="38"/>
        <v>7.4999999999999997E-2</v>
      </c>
      <c r="M263" s="183"/>
      <c r="N263" s="183">
        <f t="shared" si="39"/>
        <v>1</v>
      </c>
      <c r="O263" s="183">
        <f t="shared" si="40"/>
        <v>1</v>
      </c>
      <c r="P263" s="90" t="s">
        <v>39</v>
      </c>
      <c r="Q263" s="91">
        <f t="shared" si="41"/>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2"/>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37"/>
        <v>7.4999999999999997E-2</v>
      </c>
      <c r="K264" s="189">
        <f>SUMIFS(Table1[Horas efetivas],Table1[Tabela],Plano_V3!E264,Table1[Campo],Plano_V3!F264)</f>
        <v>0.6</v>
      </c>
      <c r="L264" s="189">
        <f t="shared" si="38"/>
        <v>7.4999999999999997E-2</v>
      </c>
      <c r="M264" s="183"/>
      <c r="N264" s="183">
        <f t="shared" si="39"/>
        <v>1</v>
      </c>
      <c r="O264" s="183">
        <f t="shared" si="40"/>
        <v>1</v>
      </c>
      <c r="P264" s="90" t="s">
        <v>39</v>
      </c>
      <c r="Q264" s="91">
        <f t="shared" si="41"/>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2"/>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37"/>
        <v>7.4999999999999997E-2</v>
      </c>
      <c r="K265" s="189">
        <f>SUMIFS(Table1[Horas efetivas],Table1[Tabela],Plano_V3!E265,Table1[Campo],Plano_V3!F265)</f>
        <v>0.6</v>
      </c>
      <c r="L265" s="189">
        <f t="shared" si="38"/>
        <v>7.4999999999999997E-2</v>
      </c>
      <c r="M265" s="183"/>
      <c r="N265" s="183">
        <f t="shared" si="39"/>
        <v>1</v>
      </c>
      <c r="O265" s="183">
        <f t="shared" si="40"/>
        <v>1</v>
      </c>
      <c r="P265" s="90" t="s">
        <v>39</v>
      </c>
      <c r="Q265" s="91">
        <f t="shared" si="41"/>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2"/>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37"/>
        <v>7.4999999999999997E-2</v>
      </c>
      <c r="K266" s="189">
        <f>SUMIFS(Table1[Horas efetivas],Table1[Tabela],Plano_V3!E266,Table1[Campo],Plano_V3!F266)</f>
        <v>0.6</v>
      </c>
      <c r="L266" s="189">
        <f t="shared" si="38"/>
        <v>7.4999999999999997E-2</v>
      </c>
      <c r="M266" s="183"/>
      <c r="N266" s="183">
        <f t="shared" si="39"/>
        <v>1</v>
      </c>
      <c r="O266" s="183">
        <f t="shared" si="40"/>
        <v>1</v>
      </c>
      <c r="P266" s="90" t="s">
        <v>39</v>
      </c>
      <c r="Q266" s="91">
        <f t="shared" si="41"/>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2"/>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37"/>
        <v>6.25E-2</v>
      </c>
      <c r="K267" s="189">
        <f>SUMIFS(Table1[Horas efetivas],Table1[Tabela],Plano_V3!E267,Table1[Campo],Plano_V3!F267)</f>
        <v>0.5</v>
      </c>
      <c r="L267" s="189">
        <f t="shared" si="38"/>
        <v>6.25E-2</v>
      </c>
      <c r="M267" s="183"/>
      <c r="N267" s="183">
        <f t="shared" si="39"/>
        <v>1</v>
      </c>
      <c r="O267" s="183">
        <f t="shared" si="40"/>
        <v>1</v>
      </c>
      <c r="P267" s="90" t="s">
        <v>39</v>
      </c>
      <c r="Q267" s="91">
        <f t="shared" si="41"/>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2"/>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37"/>
        <v>7.4999999999999997E-2</v>
      </c>
      <c r="K268" s="189">
        <f>SUMIFS(Table1[Horas efetivas],Table1[Tabela],Plano_V3!E268,Table1[Campo],Plano_V3!F268)</f>
        <v>0.6</v>
      </c>
      <c r="L268" s="189">
        <f t="shared" si="38"/>
        <v>7.4999999999999997E-2</v>
      </c>
      <c r="M268" s="183"/>
      <c r="N268" s="183">
        <f t="shared" si="39"/>
        <v>1</v>
      </c>
      <c r="O268" s="183">
        <f t="shared" si="40"/>
        <v>1</v>
      </c>
      <c r="P268" s="90" t="s">
        <v>39</v>
      </c>
      <c r="Q268" s="91">
        <f t="shared" si="41"/>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2"/>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37"/>
        <v>7.4999999999999997E-2</v>
      </c>
      <c r="K269" s="189">
        <f>SUMIFS(Table1[Horas efetivas],Table1[Tabela],Plano_V3!E269,Table1[Campo],Plano_V3!F269)</f>
        <v>0.6</v>
      </c>
      <c r="L269" s="189">
        <f t="shared" si="38"/>
        <v>7.4999999999999997E-2</v>
      </c>
      <c r="M269" s="183"/>
      <c r="N269" s="183">
        <f t="shared" si="39"/>
        <v>1</v>
      </c>
      <c r="O269" s="183">
        <f t="shared" si="40"/>
        <v>1</v>
      </c>
      <c r="P269" s="90" t="s">
        <v>39</v>
      </c>
      <c r="Q269" s="91">
        <f t="shared" si="41"/>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2"/>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37"/>
        <v>7.4999999999999997E-2</v>
      </c>
      <c r="K270" s="189">
        <f>SUMIFS(Table1[Horas efetivas],Table1[Tabela],Plano_V3!E270,Table1[Campo],Plano_V3!F270)</f>
        <v>0.6</v>
      </c>
      <c r="L270" s="189">
        <f t="shared" si="38"/>
        <v>7.4999999999999997E-2</v>
      </c>
      <c r="M270" s="183"/>
      <c r="N270" s="183">
        <f t="shared" si="39"/>
        <v>1</v>
      </c>
      <c r="O270" s="183">
        <f t="shared" si="40"/>
        <v>1</v>
      </c>
      <c r="P270" s="90" t="s">
        <v>39</v>
      </c>
      <c r="Q270" s="91">
        <f t="shared" si="41"/>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2"/>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43">I271/8</f>
        <v>6.25E-2</v>
      </c>
      <c r="K271" s="189">
        <f>SUMIFS(Table1[Horas efetivas],Table1[Tabela],Plano_V3!E271,Table1[Campo],Plano_V3!F271)</f>
        <v>0.5</v>
      </c>
      <c r="L271" s="189">
        <f t="shared" si="38"/>
        <v>6.25E-2</v>
      </c>
      <c r="M271" s="183"/>
      <c r="N271" s="183">
        <f t="shared" si="39"/>
        <v>1</v>
      </c>
      <c r="O271" s="183">
        <f t="shared" si="40"/>
        <v>1</v>
      </c>
      <c r="P271" s="90" t="s">
        <v>39</v>
      </c>
      <c r="Q271" s="91">
        <f t="shared" si="41"/>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2"/>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43"/>
        <v>6.25E-2</v>
      </c>
      <c r="K272" s="189">
        <f>SUMIFS(Table1[Horas efetivas],Table1[Tabela],Plano_V3!E272,Table1[Campo],Plano_V3!F272)</f>
        <v>0.5</v>
      </c>
      <c r="L272" s="189">
        <f t="shared" ref="L272:L336" si="44">K272/8</f>
        <v>6.25E-2</v>
      </c>
      <c r="M272" s="183"/>
      <c r="N272" s="183">
        <f t="shared" ref="N272:N336" si="45">L272/J272</f>
        <v>1</v>
      </c>
      <c r="O272" s="183">
        <f t="shared" si="40"/>
        <v>1</v>
      </c>
      <c r="P272" s="90" t="s">
        <v>39</v>
      </c>
      <c r="Q272" s="91">
        <f t="shared" si="41"/>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2"/>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43"/>
        <v>6.25E-2</v>
      </c>
      <c r="K273" s="189">
        <f>SUMIFS(Table1[Horas efetivas],Table1[Tabela],Plano_V3!E273,Table1[Campo],Plano_V3!F273)</f>
        <v>0.5</v>
      </c>
      <c r="L273" s="189">
        <f t="shared" si="44"/>
        <v>6.25E-2</v>
      </c>
      <c r="M273" s="183"/>
      <c r="N273" s="183">
        <f t="shared" si="45"/>
        <v>1</v>
      </c>
      <c r="O273" s="183">
        <f t="shared" si="40"/>
        <v>1</v>
      </c>
      <c r="P273" s="90" t="s">
        <v>39</v>
      </c>
      <c r="Q273" s="91">
        <f t="shared" si="41"/>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2"/>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43"/>
        <v>6.25E-2</v>
      </c>
      <c r="K274" s="189">
        <f>SUMIFS(Table1[Horas efetivas],Table1[Tabela],Plano_V3!E274,Table1[Campo],Plano_V3!F274)</f>
        <v>0.5</v>
      </c>
      <c r="L274" s="189">
        <f t="shared" si="44"/>
        <v>6.25E-2</v>
      </c>
      <c r="M274" s="183"/>
      <c r="N274" s="183">
        <f t="shared" si="45"/>
        <v>1</v>
      </c>
      <c r="O274" s="183">
        <f t="shared" si="40"/>
        <v>1</v>
      </c>
      <c r="P274" s="90" t="s">
        <v>39</v>
      </c>
      <c r="Q274" s="91">
        <f t="shared" si="41"/>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2"/>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43"/>
        <v>7.4999999999999997E-2</v>
      </c>
      <c r="K275" s="189">
        <f>SUMIFS(Table1[Horas efetivas],Table1[Tabela],Plano_V3!E275,Table1[Campo],Plano_V3!F275)</f>
        <v>0.6</v>
      </c>
      <c r="L275" s="189">
        <f t="shared" si="44"/>
        <v>7.4999999999999997E-2</v>
      </c>
      <c r="M275" s="183"/>
      <c r="N275" s="183">
        <f t="shared" si="45"/>
        <v>1</v>
      </c>
      <c r="O275" s="183">
        <f t="shared" si="40"/>
        <v>1</v>
      </c>
      <c r="P275" s="90" t="s">
        <v>39</v>
      </c>
      <c r="Q275" s="91">
        <f t="shared" si="41"/>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2"/>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43"/>
        <v>7.4999999999999997E-2</v>
      </c>
      <c r="K276" s="189">
        <f>SUMIFS(Table1[Horas efetivas],Table1[Tabela],Plano_V3!E276,Table1[Campo],Plano_V3!F276)</f>
        <v>0.6</v>
      </c>
      <c r="L276" s="189">
        <f t="shared" si="44"/>
        <v>7.4999999999999997E-2</v>
      </c>
      <c r="M276" s="183"/>
      <c r="N276" s="183">
        <f t="shared" si="45"/>
        <v>1</v>
      </c>
      <c r="O276" s="183">
        <f t="shared" si="40"/>
        <v>1</v>
      </c>
      <c r="P276" s="90" t="s">
        <v>39</v>
      </c>
      <c r="Q276" s="91">
        <f t="shared" si="41"/>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2"/>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43"/>
        <v>6.25E-2</v>
      </c>
      <c r="K277" s="189">
        <f>SUMIFS(Table1[Horas efetivas],Table1[Tabela],Plano_V3!E277,Table1[Campo],Plano_V3!F277)</f>
        <v>0.5</v>
      </c>
      <c r="L277" s="189">
        <f t="shared" si="44"/>
        <v>6.25E-2</v>
      </c>
      <c r="M277" s="183"/>
      <c r="N277" s="183">
        <f t="shared" si="45"/>
        <v>1</v>
      </c>
      <c r="O277" s="183">
        <f t="shared" si="40"/>
        <v>1</v>
      </c>
      <c r="P277" s="90" t="s">
        <v>39</v>
      </c>
      <c r="Q277" s="91">
        <f t="shared" si="41"/>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2"/>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43"/>
        <v>6.25E-2</v>
      </c>
      <c r="K278" s="189">
        <f>SUMIFS(Table1[Horas efetivas],Table1[Tabela],Plano_V3!E278,Table1[Campo],Plano_V3!F278)</f>
        <v>0.5</v>
      </c>
      <c r="L278" s="189">
        <f t="shared" si="44"/>
        <v>6.25E-2</v>
      </c>
      <c r="M278" s="183"/>
      <c r="N278" s="183">
        <f t="shared" si="45"/>
        <v>1</v>
      </c>
      <c r="O278" s="183">
        <f t="shared" si="40"/>
        <v>1</v>
      </c>
      <c r="P278" s="90" t="s">
        <v>39</v>
      </c>
      <c r="Q278" s="91">
        <f t="shared" si="41"/>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0"/>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2"/>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43"/>
        <v>6.25E-2</v>
      </c>
      <c r="K280" s="189">
        <f>SUMIFS(Table1[Horas efetivas],Table1[Tabela],Plano_V3!E280,Table1[Campo],Plano_V3!F280)</f>
        <v>0.5</v>
      </c>
      <c r="L280" s="189">
        <f t="shared" si="44"/>
        <v>6.25E-2</v>
      </c>
      <c r="M280" s="183"/>
      <c r="N280" s="183">
        <f t="shared" si="45"/>
        <v>1</v>
      </c>
      <c r="O280" s="183">
        <f t="shared" si="40"/>
        <v>1</v>
      </c>
      <c r="P280" s="90" t="s">
        <v>39</v>
      </c>
      <c r="Q280" s="91">
        <f t="shared" si="41"/>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2"/>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43"/>
        <v>7.4999999999999997E-2</v>
      </c>
      <c r="K281" s="189">
        <f>SUMIFS(Table1[Horas efetivas],Table1[Tabela],Plano_V3!E281,Table1[Campo],Plano_V3!F281)</f>
        <v>0.6</v>
      </c>
      <c r="L281" s="189">
        <f t="shared" si="44"/>
        <v>7.4999999999999997E-2</v>
      </c>
      <c r="M281" s="183"/>
      <c r="N281" s="183">
        <f t="shared" si="45"/>
        <v>1</v>
      </c>
      <c r="O281" s="183">
        <f t="shared" ref="O281:O344" si="46">N281-M281</f>
        <v>1</v>
      </c>
      <c r="P281" s="90" t="s">
        <v>39</v>
      </c>
      <c r="Q281" s="91">
        <f t="shared" si="41"/>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2"/>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43"/>
        <v>7.4999999999999997E-2</v>
      </c>
      <c r="K282" s="189">
        <f>SUMIFS(Table1[Horas efetivas],Table1[Tabela],Plano_V3!E282,Table1[Campo],Plano_V3!F282)</f>
        <v>0.6</v>
      </c>
      <c r="L282" s="189">
        <f t="shared" si="44"/>
        <v>7.4999999999999997E-2</v>
      </c>
      <c r="M282" s="183"/>
      <c r="N282" s="183">
        <f t="shared" si="45"/>
        <v>1</v>
      </c>
      <c r="O282" s="183">
        <f t="shared" si="46"/>
        <v>1</v>
      </c>
      <c r="P282" s="90" t="s">
        <v>39</v>
      </c>
      <c r="Q282" s="91">
        <f t="shared" si="41"/>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2"/>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43"/>
        <v>7.4999999999999997E-2</v>
      </c>
      <c r="K283" s="189">
        <f>SUMIFS(Table1[Horas efetivas],Table1[Tabela],Plano_V3!E283,Table1[Campo],Plano_V3!F283)</f>
        <v>0.6</v>
      </c>
      <c r="L283" s="189">
        <f t="shared" si="44"/>
        <v>7.4999999999999997E-2</v>
      </c>
      <c r="M283" s="183"/>
      <c r="N283" s="183">
        <f t="shared" si="45"/>
        <v>1</v>
      </c>
      <c r="O283" s="183">
        <f t="shared" si="46"/>
        <v>1</v>
      </c>
      <c r="P283" s="90" t="s">
        <v>39</v>
      </c>
      <c r="Q283" s="91">
        <f t="shared" si="41"/>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2"/>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43"/>
        <v>7.4999999999999997E-2</v>
      </c>
      <c r="K284" s="189">
        <f>SUMIFS(Table1[Horas efetivas],Table1[Tabela],Plano_V3!E284,Table1[Campo],Plano_V3!F284)</f>
        <v>0.6</v>
      </c>
      <c r="L284" s="189">
        <f t="shared" si="44"/>
        <v>7.4999999999999997E-2</v>
      </c>
      <c r="M284" s="183"/>
      <c r="N284" s="183">
        <f t="shared" si="45"/>
        <v>1</v>
      </c>
      <c r="O284" s="183">
        <f t="shared" si="46"/>
        <v>1</v>
      </c>
      <c r="P284" s="90" t="s">
        <v>39</v>
      </c>
      <c r="Q284" s="91">
        <f t="shared" si="41"/>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2"/>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43"/>
        <v>7.4999999999999997E-2</v>
      </c>
      <c r="K285" s="189">
        <f>SUMIFS(Table1[Horas efetivas],Table1[Tabela],Plano_V3!E285,Table1[Campo],Plano_V3!F285)</f>
        <v>0.6</v>
      </c>
      <c r="L285" s="189">
        <f t="shared" si="44"/>
        <v>7.4999999999999997E-2</v>
      </c>
      <c r="M285" s="183"/>
      <c r="N285" s="183">
        <f t="shared" si="45"/>
        <v>1</v>
      </c>
      <c r="O285" s="183">
        <f t="shared" si="46"/>
        <v>1</v>
      </c>
      <c r="P285" s="90" t="s">
        <v>39</v>
      </c>
      <c r="Q285" s="91">
        <f t="shared" si="41"/>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2"/>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43"/>
        <v>7.4999999999999997E-2</v>
      </c>
      <c r="K286" s="189">
        <f>SUMIFS(Table1[Horas efetivas],Table1[Tabela],Plano_V3!E286,Table1[Campo],Plano_V3!F286)</f>
        <v>0.6</v>
      </c>
      <c r="L286" s="189">
        <f t="shared" si="44"/>
        <v>7.4999999999999997E-2</v>
      </c>
      <c r="M286" s="183"/>
      <c r="N286" s="183">
        <f t="shared" si="45"/>
        <v>1</v>
      </c>
      <c r="O286" s="183">
        <f t="shared" si="46"/>
        <v>1</v>
      </c>
      <c r="P286" s="90" t="s">
        <v>39</v>
      </c>
      <c r="Q286" s="91">
        <f t="shared" si="41"/>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2"/>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43"/>
        <v>7.4999999999999997E-2</v>
      </c>
      <c r="K287" s="189">
        <f>SUMIFS(Table1[Horas efetivas],Table1[Tabela],Plano_V3!E287,Table1[Campo],Plano_V3!F287)</f>
        <v>0.6</v>
      </c>
      <c r="L287" s="189">
        <f t="shared" si="44"/>
        <v>7.4999999999999997E-2</v>
      </c>
      <c r="M287" s="183"/>
      <c r="N287" s="183">
        <f t="shared" si="45"/>
        <v>1</v>
      </c>
      <c r="O287" s="183">
        <f t="shared" si="46"/>
        <v>1</v>
      </c>
      <c r="P287" s="90" t="s">
        <v>39</v>
      </c>
      <c r="Q287" s="91">
        <f t="shared" si="41"/>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2"/>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43"/>
        <v>7.4999999999999997E-2</v>
      </c>
      <c r="K288" s="189">
        <f>SUMIFS(Table1[Horas efetivas],Table1[Tabela],Plano_V3!E288,Table1[Campo],Plano_V3!F288)</f>
        <v>0.6</v>
      </c>
      <c r="L288" s="189">
        <f t="shared" si="44"/>
        <v>7.4999999999999997E-2</v>
      </c>
      <c r="M288" s="183"/>
      <c r="N288" s="183">
        <f t="shared" si="45"/>
        <v>1</v>
      </c>
      <c r="O288" s="183">
        <f t="shared" si="46"/>
        <v>1</v>
      </c>
      <c r="P288" s="90" t="s">
        <v>39</v>
      </c>
      <c r="Q288" s="91">
        <f t="shared" si="41"/>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2"/>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43"/>
        <v>7.4999999999999997E-2</v>
      </c>
      <c r="K289" s="189">
        <f>SUMIFS(Table1[Horas efetivas],Table1[Tabela],Plano_V3!E289,Table1[Campo],Plano_V3!F289)</f>
        <v>0.6</v>
      </c>
      <c r="L289" s="189">
        <f t="shared" si="44"/>
        <v>7.4999999999999997E-2</v>
      </c>
      <c r="M289" s="183"/>
      <c r="N289" s="183">
        <f t="shared" si="45"/>
        <v>1</v>
      </c>
      <c r="O289" s="183">
        <f t="shared" si="46"/>
        <v>1</v>
      </c>
      <c r="P289" s="90" t="s">
        <v>39</v>
      </c>
      <c r="Q289" s="91">
        <f t="shared" si="41"/>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2"/>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43"/>
        <v>7.4999999999999997E-2</v>
      </c>
      <c r="K290" s="189">
        <f>SUMIFS(Table1[Horas efetivas],Table1[Tabela],Plano_V3!E290,Table1[Campo],Plano_V3!F290)</f>
        <v>0.6</v>
      </c>
      <c r="L290" s="189">
        <f t="shared" si="44"/>
        <v>7.4999999999999997E-2</v>
      </c>
      <c r="M290" s="183"/>
      <c r="N290" s="183">
        <f t="shared" si="45"/>
        <v>1</v>
      </c>
      <c r="O290" s="183">
        <f t="shared" si="46"/>
        <v>1</v>
      </c>
      <c r="P290" s="90" t="s">
        <v>39</v>
      </c>
      <c r="Q290" s="91">
        <f t="shared" si="41"/>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2"/>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43"/>
        <v>7.4999999999999997E-2</v>
      </c>
      <c r="K291" s="189">
        <f>SUMIFS(Table1[Horas efetivas],Table1[Tabela],Plano_V3!E291,Table1[Campo],Plano_V3!F291)</f>
        <v>0.6</v>
      </c>
      <c r="L291" s="189">
        <f t="shared" si="44"/>
        <v>7.4999999999999997E-2</v>
      </c>
      <c r="M291" s="183"/>
      <c r="N291" s="183">
        <f t="shared" si="45"/>
        <v>1</v>
      </c>
      <c r="O291" s="183">
        <f t="shared" si="46"/>
        <v>1</v>
      </c>
      <c r="P291" s="90" t="s">
        <v>39</v>
      </c>
      <c r="Q291" s="91">
        <f t="shared" si="41"/>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2"/>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43"/>
        <v>7.4999999999999997E-2</v>
      </c>
      <c r="K292" s="189">
        <f>SUMIFS(Table1[Horas efetivas],Table1[Tabela],Plano_V3!E292,Table1[Campo],Plano_V3!F292)</f>
        <v>0.6</v>
      </c>
      <c r="L292" s="189">
        <f t="shared" si="44"/>
        <v>7.4999999999999997E-2</v>
      </c>
      <c r="M292" s="183"/>
      <c r="N292" s="183">
        <f t="shared" si="45"/>
        <v>1</v>
      </c>
      <c r="O292" s="183">
        <f t="shared" si="46"/>
        <v>1</v>
      </c>
      <c r="P292" s="90" t="s">
        <v>39</v>
      </c>
      <c r="Q292" s="91">
        <f t="shared" ref="Q292:Q355" si="47">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2"/>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43"/>
        <v>7.4999999999999997E-2</v>
      </c>
      <c r="K293" s="189">
        <f>SUMIFS(Table1[Horas efetivas],Table1[Tabela],Plano_V3!E293,Table1[Campo],Plano_V3!F293)</f>
        <v>0.6</v>
      </c>
      <c r="L293" s="189">
        <f t="shared" si="44"/>
        <v>7.4999999999999997E-2</v>
      </c>
      <c r="M293" s="183"/>
      <c r="N293" s="183">
        <f t="shared" si="45"/>
        <v>1</v>
      </c>
      <c r="O293" s="183">
        <f t="shared" si="46"/>
        <v>1</v>
      </c>
      <c r="P293" s="90" t="s">
        <v>39</v>
      </c>
      <c r="Q293" s="91">
        <f t="shared" si="47"/>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48">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43"/>
        <v>7.4999999999999997E-2</v>
      </c>
      <c r="K294" s="189">
        <f>SUMIFS(Table1[Horas efetivas],Table1[Tabela],Plano_V3!E294,Table1[Campo],Plano_V3!F294)</f>
        <v>0.6</v>
      </c>
      <c r="L294" s="189">
        <f t="shared" si="44"/>
        <v>7.4999999999999997E-2</v>
      </c>
      <c r="M294" s="183"/>
      <c r="N294" s="183">
        <f t="shared" si="45"/>
        <v>1</v>
      </c>
      <c r="O294" s="183">
        <f t="shared" si="46"/>
        <v>1</v>
      </c>
      <c r="P294" s="90" t="s">
        <v>39</v>
      </c>
      <c r="Q294" s="91">
        <f t="shared" si="47"/>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48"/>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43"/>
        <v>7.4999999999999997E-2</v>
      </c>
      <c r="K295" s="189">
        <f>SUMIFS(Table1[Horas efetivas],Table1[Tabela],Plano_V3!E295,Table1[Campo],Plano_V3!F295)</f>
        <v>0.6</v>
      </c>
      <c r="L295" s="189">
        <f t="shared" si="44"/>
        <v>7.4999999999999997E-2</v>
      </c>
      <c r="M295" s="183"/>
      <c r="N295" s="183">
        <f t="shared" si="45"/>
        <v>1</v>
      </c>
      <c r="O295" s="183">
        <f t="shared" si="46"/>
        <v>1</v>
      </c>
      <c r="P295" s="90" t="s">
        <v>39</v>
      </c>
      <c r="Q295" s="91">
        <f t="shared" si="47"/>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48"/>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43"/>
        <v>7.4999999999999997E-2</v>
      </c>
      <c r="K296" s="189">
        <f>SUMIFS(Table1[Horas efetivas],Table1[Tabela],Plano_V3!E296,Table1[Campo],Plano_V3!F296)</f>
        <v>0.6</v>
      </c>
      <c r="L296" s="189">
        <f t="shared" si="44"/>
        <v>7.4999999999999997E-2</v>
      </c>
      <c r="M296" s="183"/>
      <c r="N296" s="183">
        <f t="shared" si="45"/>
        <v>1</v>
      </c>
      <c r="O296" s="183">
        <f t="shared" si="46"/>
        <v>1</v>
      </c>
      <c r="P296" s="90" t="s">
        <v>39</v>
      </c>
      <c r="Q296" s="91">
        <f t="shared" si="47"/>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48"/>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43"/>
        <v>7.4999999999999997E-2</v>
      </c>
      <c r="K297" s="189">
        <f>SUMIFS(Table1[Horas efetivas],Table1[Tabela],Plano_V3!E297,Table1[Campo],Plano_V3!F297)</f>
        <v>0.6</v>
      </c>
      <c r="L297" s="189">
        <f t="shared" si="44"/>
        <v>7.4999999999999997E-2</v>
      </c>
      <c r="M297" s="183"/>
      <c r="N297" s="183">
        <f t="shared" si="45"/>
        <v>1</v>
      </c>
      <c r="O297" s="183">
        <f t="shared" si="46"/>
        <v>1</v>
      </c>
      <c r="P297" s="90" t="s">
        <v>39</v>
      </c>
      <c r="Q297" s="91">
        <f t="shared" si="47"/>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48"/>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43"/>
        <v>7.4999999999999997E-2</v>
      </c>
      <c r="K298" s="189">
        <f>SUMIFS(Table1[Horas efetivas],Table1[Tabela],Plano_V3!E298,Table1[Campo],Plano_V3!F298)</f>
        <v>0.6</v>
      </c>
      <c r="L298" s="189">
        <f t="shared" si="44"/>
        <v>7.4999999999999997E-2</v>
      </c>
      <c r="M298" s="183"/>
      <c r="N298" s="183">
        <f t="shared" si="45"/>
        <v>1</v>
      </c>
      <c r="O298" s="183">
        <f t="shared" si="46"/>
        <v>1</v>
      </c>
      <c r="P298" s="90" t="s">
        <v>39</v>
      </c>
      <c r="Q298" s="91">
        <f t="shared" si="47"/>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48"/>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43"/>
        <v>7.4999999999999997E-2</v>
      </c>
      <c r="K299" s="189">
        <f>SUMIFS(Table1[Horas efetivas],Table1[Tabela],Plano_V3!E299,Table1[Campo],Plano_V3!F299)</f>
        <v>0.6</v>
      </c>
      <c r="L299" s="189">
        <f t="shared" si="44"/>
        <v>7.4999999999999997E-2</v>
      </c>
      <c r="M299" s="183"/>
      <c r="N299" s="183">
        <f t="shared" si="45"/>
        <v>1</v>
      </c>
      <c r="O299" s="183">
        <f t="shared" si="46"/>
        <v>1</v>
      </c>
      <c r="P299" s="90" t="s">
        <v>39</v>
      </c>
      <c r="Q299" s="91">
        <f t="shared" si="47"/>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48"/>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43"/>
        <v>7.4999999999999997E-2</v>
      </c>
      <c r="K300" s="189">
        <f>SUMIFS(Table1[Horas efetivas],Table1[Tabela],Plano_V3!E300,Table1[Campo],Plano_V3!F300)</f>
        <v>0.6</v>
      </c>
      <c r="L300" s="189">
        <f t="shared" si="44"/>
        <v>7.4999999999999997E-2</v>
      </c>
      <c r="M300" s="183"/>
      <c r="N300" s="183">
        <f t="shared" si="45"/>
        <v>1</v>
      </c>
      <c r="O300" s="183">
        <f t="shared" si="46"/>
        <v>1</v>
      </c>
      <c r="P300" s="90" t="s">
        <v>39</v>
      </c>
      <c r="Q300" s="91">
        <f t="shared" si="47"/>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48"/>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43"/>
        <v>7.4999999999999997E-2</v>
      </c>
      <c r="K301" s="189">
        <f>SUMIFS(Table1[Horas efetivas],Table1[Tabela],Plano_V3!E301,Table1[Campo],Plano_V3!F301)</f>
        <v>0.6</v>
      </c>
      <c r="L301" s="189">
        <f t="shared" si="44"/>
        <v>7.4999999999999997E-2</v>
      </c>
      <c r="M301" s="183"/>
      <c r="N301" s="183">
        <f t="shared" si="45"/>
        <v>1</v>
      </c>
      <c r="O301" s="183">
        <f t="shared" si="46"/>
        <v>1</v>
      </c>
      <c r="P301" s="90" t="s">
        <v>39</v>
      </c>
      <c r="Q301" s="91">
        <f t="shared" si="47"/>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48"/>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43"/>
        <v>7.4999999999999997E-2</v>
      </c>
      <c r="K302" s="189">
        <f>SUMIFS(Table1[Horas efetivas],Table1[Tabela],Plano_V3!E302,Table1[Campo],Plano_V3!F302)</f>
        <v>0.6</v>
      </c>
      <c r="L302" s="189">
        <f t="shared" si="44"/>
        <v>7.4999999999999997E-2</v>
      </c>
      <c r="M302" s="183"/>
      <c r="N302" s="183">
        <f t="shared" si="45"/>
        <v>1</v>
      </c>
      <c r="O302" s="183">
        <f t="shared" si="46"/>
        <v>1</v>
      </c>
      <c r="P302" s="90" t="s">
        <v>39</v>
      </c>
      <c r="Q302" s="91">
        <f t="shared" si="47"/>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48"/>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43"/>
        <v>7.4999999999999997E-2</v>
      </c>
      <c r="K303" s="189">
        <f>SUMIFS(Table1[Horas efetivas],Table1[Tabela],Plano_V3!E303,Table1[Campo],Plano_V3!F303)</f>
        <v>0.6</v>
      </c>
      <c r="L303" s="189">
        <f t="shared" si="44"/>
        <v>7.4999999999999997E-2</v>
      </c>
      <c r="M303" s="183"/>
      <c r="N303" s="183">
        <f t="shared" si="45"/>
        <v>1</v>
      </c>
      <c r="O303" s="183">
        <f t="shared" si="46"/>
        <v>1</v>
      </c>
      <c r="P303" s="90" t="s">
        <v>39</v>
      </c>
      <c r="Q303" s="91">
        <f t="shared" si="47"/>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48"/>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43"/>
        <v>7.4999999999999997E-2</v>
      </c>
      <c r="K304" s="189">
        <f>SUMIFS(Table1[Horas efetivas],Table1[Tabela],Plano_V3!E304,Table1[Campo],Plano_V3!F304)</f>
        <v>0.6</v>
      </c>
      <c r="L304" s="189">
        <f t="shared" si="44"/>
        <v>7.4999999999999997E-2</v>
      </c>
      <c r="M304" s="183"/>
      <c r="N304" s="183">
        <f t="shared" si="45"/>
        <v>1</v>
      </c>
      <c r="O304" s="183">
        <f t="shared" si="46"/>
        <v>1</v>
      </c>
      <c r="P304" s="90" t="s">
        <v>39</v>
      </c>
      <c r="Q304" s="91">
        <f t="shared" si="47"/>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48"/>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43"/>
        <v>7.4999999999999997E-2</v>
      </c>
      <c r="K305" s="189">
        <f>SUMIFS(Table1[Horas efetivas],Table1[Tabela],Plano_V3!E305,Table1[Campo],Plano_V3!F305)</f>
        <v>0.6</v>
      </c>
      <c r="L305" s="189">
        <f t="shared" si="44"/>
        <v>7.4999999999999997E-2</v>
      </c>
      <c r="M305" s="183"/>
      <c r="N305" s="183">
        <f t="shared" si="45"/>
        <v>1</v>
      </c>
      <c r="O305" s="183">
        <f t="shared" si="46"/>
        <v>1</v>
      </c>
      <c r="P305" s="90" t="s">
        <v>39</v>
      </c>
      <c r="Q305" s="91">
        <f t="shared" si="47"/>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48"/>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43"/>
        <v>7.4999999999999997E-2</v>
      </c>
      <c r="K306" s="189">
        <f>SUMIFS(Table1[Horas efetivas],Table1[Tabela],Plano_V3!E306,Table1[Campo],Plano_V3!F306)</f>
        <v>0.6</v>
      </c>
      <c r="L306" s="189">
        <f t="shared" si="44"/>
        <v>7.4999999999999997E-2</v>
      </c>
      <c r="M306" s="183"/>
      <c r="N306" s="183">
        <f t="shared" si="45"/>
        <v>1</v>
      </c>
      <c r="O306" s="183">
        <f t="shared" si="46"/>
        <v>1</v>
      </c>
      <c r="P306" s="90" t="s">
        <v>39</v>
      </c>
      <c r="Q306" s="91">
        <f t="shared" si="47"/>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48"/>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43"/>
        <v>7.4999999999999997E-2</v>
      </c>
      <c r="K307" s="189">
        <f>SUMIFS(Table1[Horas efetivas],Table1[Tabela],Plano_V3!E307,Table1[Campo],Plano_V3!F307)</f>
        <v>0.6</v>
      </c>
      <c r="L307" s="189">
        <f t="shared" si="44"/>
        <v>7.4999999999999997E-2</v>
      </c>
      <c r="M307" s="183"/>
      <c r="N307" s="183">
        <f t="shared" si="45"/>
        <v>1</v>
      </c>
      <c r="O307" s="183">
        <f t="shared" si="46"/>
        <v>1</v>
      </c>
      <c r="P307" s="90" t="s">
        <v>39</v>
      </c>
      <c r="Q307" s="91">
        <f t="shared" si="47"/>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48"/>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43"/>
        <v>7.4999999999999997E-2</v>
      </c>
      <c r="K308" s="189">
        <f>SUMIFS(Table1[Horas efetivas],Table1[Tabela],Plano_V3!E308,Table1[Campo],Plano_V3!F308)</f>
        <v>0.6</v>
      </c>
      <c r="L308" s="189">
        <f t="shared" si="44"/>
        <v>7.4999999999999997E-2</v>
      </c>
      <c r="M308" s="183"/>
      <c r="N308" s="183">
        <f t="shared" si="45"/>
        <v>1</v>
      </c>
      <c r="O308" s="183">
        <f t="shared" si="46"/>
        <v>1</v>
      </c>
      <c r="P308" s="90" t="s">
        <v>39</v>
      </c>
      <c r="Q308" s="91">
        <f t="shared" si="47"/>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48"/>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43"/>
        <v>7.4999999999999997E-2</v>
      </c>
      <c r="K309" s="189">
        <f>SUMIFS(Table1[Horas efetivas],Table1[Tabela],Plano_V3!E309,Table1[Campo],Plano_V3!F309)</f>
        <v>0.6</v>
      </c>
      <c r="L309" s="189">
        <f t="shared" si="44"/>
        <v>7.4999999999999997E-2</v>
      </c>
      <c r="M309" s="183"/>
      <c r="N309" s="183">
        <f t="shared" si="45"/>
        <v>1</v>
      </c>
      <c r="O309" s="183">
        <f t="shared" si="46"/>
        <v>1</v>
      </c>
      <c r="P309" s="90" t="s">
        <v>39</v>
      </c>
      <c r="Q309" s="91">
        <f t="shared" si="47"/>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48"/>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43"/>
        <v>7.4999999999999997E-2</v>
      </c>
      <c r="K310" s="189">
        <f>SUMIFS(Table1[Horas efetivas],Table1[Tabela],Plano_V3!E310,Table1[Campo],Plano_V3!F310)</f>
        <v>0.6</v>
      </c>
      <c r="L310" s="189">
        <f t="shared" si="44"/>
        <v>7.4999999999999997E-2</v>
      </c>
      <c r="M310" s="183"/>
      <c r="N310" s="183">
        <f t="shared" si="45"/>
        <v>1</v>
      </c>
      <c r="O310" s="183">
        <f t="shared" si="46"/>
        <v>1</v>
      </c>
      <c r="P310" s="90" t="s">
        <v>39</v>
      </c>
      <c r="Q310" s="91">
        <f t="shared" si="47"/>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48"/>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43"/>
        <v>7.4999999999999997E-2</v>
      </c>
      <c r="K311" s="189">
        <f>SUMIFS(Table1[Horas efetivas],Table1[Tabela],Plano_V3!E311,Table1[Campo],Plano_V3!F311)</f>
        <v>0.6</v>
      </c>
      <c r="L311" s="189">
        <f t="shared" si="44"/>
        <v>7.4999999999999997E-2</v>
      </c>
      <c r="M311" s="183"/>
      <c r="N311" s="183">
        <f t="shared" si="45"/>
        <v>1</v>
      </c>
      <c r="O311" s="183">
        <f t="shared" si="46"/>
        <v>1</v>
      </c>
      <c r="P311" s="90" t="s">
        <v>39</v>
      </c>
      <c r="Q311" s="91">
        <f t="shared" si="47"/>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48"/>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43"/>
        <v>7.4999999999999997E-2</v>
      </c>
      <c r="K312" s="189">
        <f>SUMIFS(Table1[Horas efetivas],Table1[Tabela],Plano_V3!E312,Table1[Campo],Plano_V3!F312)</f>
        <v>0.6</v>
      </c>
      <c r="L312" s="189">
        <f t="shared" si="44"/>
        <v>7.4999999999999997E-2</v>
      </c>
      <c r="M312" s="183"/>
      <c r="N312" s="183">
        <f t="shared" si="45"/>
        <v>1</v>
      </c>
      <c r="O312" s="183">
        <f t="shared" si="46"/>
        <v>1</v>
      </c>
      <c r="P312" s="90" t="s">
        <v>39</v>
      </c>
      <c r="Q312" s="91">
        <f t="shared" si="47"/>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48"/>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43"/>
        <v>7.4999999999999997E-2</v>
      </c>
      <c r="K313" s="189">
        <f>SUMIFS(Table1[Horas efetivas],Table1[Tabela],Plano_V3!E313,Table1[Campo],Plano_V3!F313)</f>
        <v>0.6</v>
      </c>
      <c r="L313" s="189">
        <f t="shared" si="44"/>
        <v>7.4999999999999997E-2</v>
      </c>
      <c r="M313" s="183"/>
      <c r="N313" s="183">
        <f t="shared" si="45"/>
        <v>1</v>
      </c>
      <c r="O313" s="183">
        <f t="shared" si="46"/>
        <v>1</v>
      </c>
      <c r="P313" s="90" t="s">
        <v>39</v>
      </c>
      <c r="Q313" s="91">
        <f t="shared" si="47"/>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48"/>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43"/>
        <v>7.4999999999999997E-2</v>
      </c>
      <c r="K314" s="189">
        <f>SUMIFS(Table1[Horas efetivas],Table1[Tabela],Plano_V3!E314,Table1[Campo],Plano_V3!F314)</f>
        <v>0.6</v>
      </c>
      <c r="L314" s="189">
        <f t="shared" si="44"/>
        <v>7.4999999999999997E-2</v>
      </c>
      <c r="M314" s="183"/>
      <c r="N314" s="183">
        <f t="shared" si="45"/>
        <v>1</v>
      </c>
      <c r="O314" s="183">
        <f t="shared" si="46"/>
        <v>1</v>
      </c>
      <c r="P314" s="90" t="s">
        <v>39</v>
      </c>
      <c r="Q314" s="91">
        <f t="shared" si="47"/>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48"/>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43"/>
        <v>6.25E-2</v>
      </c>
      <c r="K315" s="189">
        <f>SUMIFS(Table1[Horas efetivas],Table1[Tabela],Plano_V3!E315,Table1[Campo],Plano_V3!F315)</f>
        <v>0.5</v>
      </c>
      <c r="L315" s="189">
        <f t="shared" si="44"/>
        <v>6.25E-2</v>
      </c>
      <c r="M315" s="183"/>
      <c r="N315" s="183">
        <f t="shared" si="45"/>
        <v>1</v>
      </c>
      <c r="O315" s="183">
        <f t="shared" si="46"/>
        <v>1</v>
      </c>
      <c r="P315" s="90" t="s">
        <v>39</v>
      </c>
      <c r="Q315" s="91">
        <f t="shared" si="47"/>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48"/>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43"/>
        <v>7.4999999999999997E-2</v>
      </c>
      <c r="K316" s="189">
        <f>SUMIFS(Table1[Horas efetivas],Table1[Tabela],Plano_V3!E316,Table1[Campo],Plano_V3!F316)</f>
        <v>0.6</v>
      </c>
      <c r="L316" s="189">
        <f t="shared" si="44"/>
        <v>7.4999999999999997E-2</v>
      </c>
      <c r="M316" s="183"/>
      <c r="N316" s="183">
        <f t="shared" si="45"/>
        <v>1</v>
      </c>
      <c r="O316" s="183">
        <f t="shared" si="46"/>
        <v>1</v>
      </c>
      <c r="P316" s="90" t="s">
        <v>39</v>
      </c>
      <c r="Q316" s="91">
        <f t="shared" si="47"/>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48"/>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43"/>
        <v>6.25E-2</v>
      </c>
      <c r="K317" s="189">
        <f>SUMIFS(Table1[Horas efetivas],Table1[Tabela],Plano_V3!E317,Table1[Campo],Plano_V3!F317)</f>
        <v>0.5</v>
      </c>
      <c r="L317" s="189">
        <f t="shared" si="44"/>
        <v>6.25E-2</v>
      </c>
      <c r="M317" s="183"/>
      <c r="N317" s="183">
        <f t="shared" si="45"/>
        <v>1</v>
      </c>
      <c r="O317" s="183">
        <f t="shared" si="46"/>
        <v>1</v>
      </c>
      <c r="P317" s="90" t="s">
        <v>39</v>
      </c>
      <c r="Q317" s="91">
        <f t="shared" si="47"/>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48"/>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43"/>
        <v>7.4999999999999997E-2</v>
      </c>
      <c r="K318" s="189">
        <f>SUMIFS(Table1[Horas efetivas],Table1[Tabela],Plano_V3!E318,Table1[Campo],Plano_V3!F318)</f>
        <v>0.6</v>
      </c>
      <c r="L318" s="189">
        <f t="shared" si="44"/>
        <v>7.4999999999999997E-2</v>
      </c>
      <c r="M318" s="183"/>
      <c r="N318" s="183">
        <f t="shared" si="45"/>
        <v>1</v>
      </c>
      <c r="O318" s="183">
        <f t="shared" si="46"/>
        <v>1</v>
      </c>
      <c r="P318" s="90" t="s">
        <v>39</v>
      </c>
      <c r="Q318" s="91">
        <f t="shared" si="47"/>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48"/>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43"/>
        <v>7.4999999999999997E-2</v>
      </c>
      <c r="K319" s="189">
        <f>SUMIFS(Table1[Horas efetivas],Table1[Tabela],Plano_V3!E319,Table1[Campo],Plano_V3!F319)</f>
        <v>0.6</v>
      </c>
      <c r="L319" s="189">
        <f t="shared" si="44"/>
        <v>7.4999999999999997E-2</v>
      </c>
      <c r="M319" s="183"/>
      <c r="N319" s="183">
        <f t="shared" si="45"/>
        <v>1</v>
      </c>
      <c r="O319" s="183">
        <f t="shared" si="46"/>
        <v>1</v>
      </c>
      <c r="P319" s="90" t="s">
        <v>39</v>
      </c>
      <c r="Q319" s="91">
        <f t="shared" si="47"/>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48"/>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43"/>
        <v>7.4999999999999997E-2</v>
      </c>
      <c r="K320" s="189">
        <f>SUMIFS(Table1[Horas efetivas],Table1[Tabela],Plano_V3!E320,Table1[Campo],Plano_V3!F320)</f>
        <v>0.6</v>
      </c>
      <c r="L320" s="189">
        <f t="shared" si="44"/>
        <v>7.4999999999999997E-2</v>
      </c>
      <c r="M320" s="183"/>
      <c r="N320" s="183">
        <f t="shared" si="45"/>
        <v>1</v>
      </c>
      <c r="O320" s="183">
        <f t="shared" si="46"/>
        <v>1</v>
      </c>
      <c r="P320" s="90" t="s">
        <v>39</v>
      </c>
      <c r="Q320" s="91">
        <f t="shared" si="47"/>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48"/>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43"/>
        <v>6.25E-2</v>
      </c>
      <c r="K321" s="189">
        <f>SUMIFS(Table1[Horas efetivas],Table1[Tabela],Plano_V3!E321,Table1[Campo],Plano_V3!F321)</f>
        <v>0.5</v>
      </c>
      <c r="L321" s="189">
        <f t="shared" si="44"/>
        <v>6.25E-2</v>
      </c>
      <c r="M321" s="183"/>
      <c r="N321" s="183">
        <f t="shared" si="45"/>
        <v>1</v>
      </c>
      <c r="O321" s="183">
        <f t="shared" si="46"/>
        <v>1</v>
      </c>
      <c r="P321" s="90" t="s">
        <v>39</v>
      </c>
      <c r="Q321" s="91">
        <f t="shared" si="47"/>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48"/>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43"/>
        <v>7.4999999999999997E-2</v>
      </c>
      <c r="K322" s="189">
        <f>SUMIFS(Table1[Horas efetivas],Table1[Tabela],Plano_V3!E322,Table1[Campo],Plano_V3!F322)</f>
        <v>0.6</v>
      </c>
      <c r="L322" s="189">
        <f t="shared" si="44"/>
        <v>7.4999999999999997E-2</v>
      </c>
      <c r="M322" s="183"/>
      <c r="N322" s="183">
        <f t="shared" si="45"/>
        <v>1</v>
      </c>
      <c r="O322" s="183">
        <f t="shared" si="46"/>
        <v>1</v>
      </c>
      <c r="P322" s="90" t="s">
        <v>39</v>
      </c>
      <c r="Q322" s="91">
        <f t="shared" si="47"/>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48"/>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43"/>
        <v>6.25E-2</v>
      </c>
      <c r="K323" s="189">
        <f>SUMIFS(Table1[Horas efetivas],Table1[Tabela],Plano_V3!E323,Table1[Campo],Plano_V3!F323)</f>
        <v>0.5</v>
      </c>
      <c r="L323" s="189">
        <f t="shared" si="44"/>
        <v>6.25E-2</v>
      </c>
      <c r="M323" s="183"/>
      <c r="N323" s="183">
        <f t="shared" si="45"/>
        <v>1</v>
      </c>
      <c r="O323" s="183">
        <f t="shared" si="46"/>
        <v>1</v>
      </c>
      <c r="P323" s="90" t="s">
        <v>39</v>
      </c>
      <c r="Q323" s="91">
        <f t="shared" si="47"/>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48"/>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43"/>
        <v>7.4999999999999997E-2</v>
      </c>
      <c r="K324" s="189">
        <f>SUMIFS(Table1[Horas efetivas],Table1[Tabela],Plano_V3!E324,Table1[Campo],Plano_V3!F324)</f>
        <v>0.6</v>
      </c>
      <c r="L324" s="189">
        <f t="shared" si="44"/>
        <v>7.4999999999999997E-2</v>
      </c>
      <c r="M324" s="183"/>
      <c r="N324" s="183">
        <f t="shared" si="45"/>
        <v>1</v>
      </c>
      <c r="O324" s="183">
        <f t="shared" si="46"/>
        <v>1</v>
      </c>
      <c r="P324" s="90" t="s">
        <v>39</v>
      </c>
      <c r="Q324" s="91">
        <f t="shared" si="47"/>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48"/>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43"/>
        <v>7.4999999999999997E-2</v>
      </c>
      <c r="K325" s="189">
        <f>SUMIFS(Table1[Horas efetivas],Table1[Tabela],Plano_V3!E325,Table1[Campo],Plano_V3!F325)</f>
        <v>0.6</v>
      </c>
      <c r="L325" s="189">
        <f t="shared" si="44"/>
        <v>7.4999999999999997E-2</v>
      </c>
      <c r="M325" s="183"/>
      <c r="N325" s="183">
        <f t="shared" si="45"/>
        <v>1</v>
      </c>
      <c r="O325" s="183">
        <f t="shared" si="46"/>
        <v>1</v>
      </c>
      <c r="P325" s="90" t="s">
        <v>39</v>
      </c>
      <c r="Q325" s="91">
        <f t="shared" si="47"/>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48"/>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43"/>
        <v>7.4999999999999997E-2</v>
      </c>
      <c r="K326" s="189">
        <f>SUMIFS(Table1[Horas efetivas],Table1[Tabela],Plano_V3!E326,Table1[Campo],Plano_V3!F326)</f>
        <v>0.6</v>
      </c>
      <c r="L326" s="189">
        <f t="shared" si="44"/>
        <v>7.4999999999999997E-2</v>
      </c>
      <c r="M326" s="183"/>
      <c r="N326" s="183">
        <f t="shared" si="45"/>
        <v>1</v>
      </c>
      <c r="O326" s="183">
        <f t="shared" si="46"/>
        <v>1</v>
      </c>
      <c r="P326" s="90" t="s">
        <v>39</v>
      </c>
      <c r="Q326" s="91">
        <f t="shared" si="47"/>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48"/>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43"/>
        <v>7.4999999999999997E-2</v>
      </c>
      <c r="K327" s="189">
        <f>SUMIFS(Table1[Horas efetivas],Table1[Tabela],Plano_V3!E327,Table1[Campo],Plano_V3!F327)</f>
        <v>0.6</v>
      </c>
      <c r="L327" s="189">
        <f t="shared" si="44"/>
        <v>7.4999999999999997E-2</v>
      </c>
      <c r="M327" s="183"/>
      <c r="N327" s="183">
        <f t="shared" si="45"/>
        <v>1</v>
      </c>
      <c r="O327" s="183">
        <f t="shared" si="46"/>
        <v>1</v>
      </c>
      <c r="P327" s="90" t="s">
        <v>39</v>
      </c>
      <c r="Q327" s="91">
        <f t="shared" si="47"/>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48"/>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43"/>
        <v>7.4999999999999997E-2</v>
      </c>
      <c r="K328" s="189">
        <f>SUMIFS(Table1[Horas efetivas],Table1[Tabela],Plano_V3!E328,Table1[Campo],Plano_V3!F328)</f>
        <v>0.6</v>
      </c>
      <c r="L328" s="189">
        <f t="shared" si="44"/>
        <v>7.4999999999999997E-2</v>
      </c>
      <c r="M328" s="183"/>
      <c r="N328" s="183">
        <f t="shared" si="45"/>
        <v>1</v>
      </c>
      <c r="O328" s="183">
        <f t="shared" si="46"/>
        <v>1</v>
      </c>
      <c r="P328" s="90" t="s">
        <v>39</v>
      </c>
      <c r="Q328" s="91">
        <f t="shared" si="47"/>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48"/>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43"/>
        <v>6.25E-2</v>
      </c>
      <c r="K329" s="189">
        <f>SUMIFS(Table1[Horas efetivas],Table1[Tabela],Plano_V3!E329,Table1[Campo],Plano_V3!F329)</f>
        <v>0.5</v>
      </c>
      <c r="L329" s="189">
        <f t="shared" si="44"/>
        <v>6.25E-2</v>
      </c>
      <c r="M329" s="183"/>
      <c r="N329" s="183">
        <f t="shared" si="45"/>
        <v>1</v>
      </c>
      <c r="O329" s="183">
        <f t="shared" si="46"/>
        <v>1</v>
      </c>
      <c r="P329" s="90" t="s">
        <v>39</v>
      </c>
      <c r="Q329" s="91">
        <f t="shared" si="47"/>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48"/>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43"/>
        <v>6.25E-2</v>
      </c>
      <c r="K330" s="189">
        <f>SUMIFS(Table1[Horas efetivas],Table1[Tabela],Plano_V3!E330,Table1[Campo],Plano_V3!F330)</f>
        <v>0.5</v>
      </c>
      <c r="L330" s="189">
        <f t="shared" si="44"/>
        <v>6.25E-2</v>
      </c>
      <c r="M330" s="183"/>
      <c r="N330" s="183">
        <f t="shared" si="45"/>
        <v>1</v>
      </c>
      <c r="O330" s="183">
        <f t="shared" si="46"/>
        <v>1</v>
      </c>
      <c r="P330" s="90" t="s">
        <v>39</v>
      </c>
      <c r="Q330" s="91">
        <f t="shared" si="47"/>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48"/>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43"/>
        <v>6.25E-2</v>
      </c>
      <c r="K331" s="189">
        <f>SUMIFS(Table1[Horas efetivas],Table1[Tabela],Plano_V3!E331,Table1[Campo],Plano_V3!F331)</f>
        <v>0.5</v>
      </c>
      <c r="L331" s="189">
        <f t="shared" si="44"/>
        <v>6.25E-2</v>
      </c>
      <c r="M331" s="183"/>
      <c r="N331" s="183">
        <f t="shared" si="45"/>
        <v>1</v>
      </c>
      <c r="O331" s="183">
        <f t="shared" si="46"/>
        <v>1</v>
      </c>
      <c r="P331" s="90" t="s">
        <v>39</v>
      </c>
      <c r="Q331" s="91">
        <f t="shared" si="47"/>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48"/>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43"/>
        <v>6.25E-2</v>
      </c>
      <c r="K332" s="189">
        <f>SUMIFS(Table1[Horas efetivas],Table1[Tabela],Plano_V3!E332,Table1[Campo],Plano_V3!F332)</f>
        <v>0.5</v>
      </c>
      <c r="L332" s="189">
        <f t="shared" si="44"/>
        <v>6.25E-2</v>
      </c>
      <c r="M332" s="183"/>
      <c r="N332" s="183">
        <f t="shared" si="45"/>
        <v>1</v>
      </c>
      <c r="O332" s="183">
        <f t="shared" si="46"/>
        <v>1</v>
      </c>
      <c r="P332" s="90" t="s">
        <v>39</v>
      </c>
      <c r="Q332" s="91">
        <f t="shared" si="47"/>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48"/>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43"/>
        <v>6.25E-2</v>
      </c>
      <c r="K333" s="189">
        <f>SUMIFS(Table1[Horas efetivas],Table1[Tabela],Plano_V3!E333,Table1[Campo],Plano_V3!F333)</f>
        <v>0.5</v>
      </c>
      <c r="L333" s="189">
        <f t="shared" si="44"/>
        <v>6.25E-2</v>
      </c>
      <c r="M333" s="183"/>
      <c r="N333" s="183">
        <f t="shared" si="45"/>
        <v>1</v>
      </c>
      <c r="O333" s="183">
        <f t="shared" si="46"/>
        <v>1</v>
      </c>
      <c r="P333" s="90" t="s">
        <v>39</v>
      </c>
      <c r="Q333" s="91">
        <f t="shared" si="47"/>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48"/>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43"/>
        <v>6.25E-2</v>
      </c>
      <c r="K334" s="189">
        <f>SUMIFS(Table1[Horas efetivas],Table1[Tabela],Plano_V3!E334,Table1[Campo],Plano_V3!F334)</f>
        <v>0.5</v>
      </c>
      <c r="L334" s="189">
        <f t="shared" si="44"/>
        <v>6.25E-2</v>
      </c>
      <c r="M334" s="183"/>
      <c r="N334" s="183">
        <f t="shared" si="45"/>
        <v>1</v>
      </c>
      <c r="O334" s="183">
        <f t="shared" si="46"/>
        <v>1</v>
      </c>
      <c r="P334" s="90" t="s">
        <v>39</v>
      </c>
      <c r="Q334" s="91">
        <f t="shared" si="47"/>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48"/>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43"/>
        <v>6.25E-2</v>
      </c>
      <c r="K335" s="189">
        <f>SUMIFS(Table1[Horas efetivas],Table1[Tabela],Plano_V3!E335,Table1[Campo],Plano_V3!F335)</f>
        <v>0.5</v>
      </c>
      <c r="L335" s="189">
        <f t="shared" si="44"/>
        <v>6.25E-2</v>
      </c>
      <c r="M335" s="183"/>
      <c r="N335" s="183">
        <f t="shared" si="45"/>
        <v>1</v>
      </c>
      <c r="O335" s="183">
        <f t="shared" si="46"/>
        <v>1</v>
      </c>
      <c r="P335" s="90" t="s">
        <v>39</v>
      </c>
      <c r="Q335" s="91">
        <f t="shared" si="47"/>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48"/>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49">I336/8</f>
        <v>6.25E-2</v>
      </c>
      <c r="K336" s="189">
        <f>SUMIFS(Table1[Horas efetivas],Table1[Tabela],Plano_V3!E336,Table1[Campo],Plano_V3!F336)</f>
        <v>0.5</v>
      </c>
      <c r="L336" s="189">
        <f t="shared" si="44"/>
        <v>6.25E-2</v>
      </c>
      <c r="M336" s="183"/>
      <c r="N336" s="183">
        <f t="shared" si="45"/>
        <v>1</v>
      </c>
      <c r="O336" s="183">
        <f t="shared" si="46"/>
        <v>1</v>
      </c>
      <c r="P336" s="90" t="s">
        <v>39</v>
      </c>
      <c r="Q336" s="91">
        <f t="shared" si="47"/>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48"/>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49"/>
        <v>6.25E-2</v>
      </c>
      <c r="K337" s="189">
        <f>SUMIFS(Table1[Horas efetivas],Table1[Tabela],Plano_V3!E337,Table1[Campo],Plano_V3!F337)</f>
        <v>0.5</v>
      </c>
      <c r="L337" s="189">
        <f t="shared" ref="L337:L369" si="50">K337/8</f>
        <v>6.25E-2</v>
      </c>
      <c r="M337" s="183"/>
      <c r="N337" s="183">
        <f t="shared" ref="N337:N369" si="51">L337/J337</f>
        <v>1</v>
      </c>
      <c r="O337" s="183">
        <f t="shared" si="46"/>
        <v>1</v>
      </c>
      <c r="P337" s="90" t="s">
        <v>39</v>
      </c>
      <c r="Q337" s="91">
        <f t="shared" si="47"/>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48"/>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49"/>
        <v>6.25E-2</v>
      </c>
      <c r="K338" s="189">
        <f>SUMIFS(Table1[Horas efetivas],Table1[Tabela],Plano_V3!E338,Table1[Campo],Plano_V3!F338)</f>
        <v>0.5</v>
      </c>
      <c r="L338" s="189">
        <f t="shared" si="50"/>
        <v>6.25E-2</v>
      </c>
      <c r="M338" s="183"/>
      <c r="N338" s="183">
        <f t="shared" si="51"/>
        <v>1</v>
      </c>
      <c r="O338" s="183">
        <f t="shared" si="46"/>
        <v>1</v>
      </c>
      <c r="P338" s="90" t="s">
        <v>39</v>
      </c>
      <c r="Q338" s="91">
        <f t="shared" si="47"/>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48"/>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49"/>
        <v>6.25E-2</v>
      </c>
      <c r="K339" s="189">
        <f>SUMIFS(Table1[Horas efetivas],Table1[Tabela],Plano_V3!E339,Table1[Campo],Plano_V3!F339)</f>
        <v>0.5</v>
      </c>
      <c r="L339" s="189">
        <f t="shared" si="50"/>
        <v>6.25E-2</v>
      </c>
      <c r="M339" s="183"/>
      <c r="N339" s="183">
        <f t="shared" si="51"/>
        <v>1</v>
      </c>
      <c r="O339" s="183">
        <f t="shared" si="46"/>
        <v>1</v>
      </c>
      <c r="P339" s="90" t="s">
        <v>39</v>
      </c>
      <c r="Q339" s="91">
        <f t="shared" si="47"/>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48"/>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49"/>
        <v>6.25E-2</v>
      </c>
      <c r="K340" s="189">
        <f>SUMIFS(Table1[Horas efetivas],Table1[Tabela],Plano_V3!E340,Table1[Campo],Plano_V3!F340)</f>
        <v>0.5</v>
      </c>
      <c r="L340" s="189">
        <f t="shared" si="50"/>
        <v>6.25E-2</v>
      </c>
      <c r="M340" s="183"/>
      <c r="N340" s="183">
        <f t="shared" si="51"/>
        <v>1</v>
      </c>
      <c r="O340" s="183">
        <f t="shared" si="46"/>
        <v>1</v>
      </c>
      <c r="P340" s="90" t="s">
        <v>39</v>
      </c>
      <c r="Q340" s="91">
        <f t="shared" si="47"/>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48"/>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49"/>
        <v>7.4999999999999997E-2</v>
      </c>
      <c r="K341" s="189">
        <f>SUMIFS(Table1[Horas efetivas],Table1[Tabela],Plano_V3!E341,Table1[Campo],Plano_V3!F341)</f>
        <v>0.6</v>
      </c>
      <c r="L341" s="189">
        <f t="shared" si="50"/>
        <v>7.4999999999999997E-2</v>
      </c>
      <c r="M341" s="183"/>
      <c r="N341" s="183">
        <f t="shared" si="51"/>
        <v>1</v>
      </c>
      <c r="O341" s="183">
        <f t="shared" si="46"/>
        <v>1</v>
      </c>
      <c r="P341" s="90" t="s">
        <v>39</v>
      </c>
      <c r="Q341" s="91">
        <f t="shared" si="47"/>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48"/>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49"/>
        <v>6.25E-2</v>
      </c>
      <c r="K342" s="189">
        <f>SUMIFS(Table1[Horas efetivas],Table1[Tabela],Plano_V3!E342,Table1[Campo],Plano_V3!F342)</f>
        <v>0.5</v>
      </c>
      <c r="L342" s="189">
        <f t="shared" si="50"/>
        <v>6.25E-2</v>
      </c>
      <c r="M342" s="183"/>
      <c r="N342" s="183">
        <f t="shared" si="51"/>
        <v>1</v>
      </c>
      <c r="O342" s="183">
        <f t="shared" si="46"/>
        <v>1</v>
      </c>
      <c r="P342" s="90" t="s">
        <v>39</v>
      </c>
      <c r="Q342" s="91">
        <f t="shared" si="47"/>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48"/>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49"/>
        <v>6.25E-2</v>
      </c>
      <c r="K343" s="189">
        <f>SUMIFS(Table1[Horas efetivas],Table1[Tabela],Plano_V3!E343,Table1[Campo],Plano_V3!F343)</f>
        <v>0.5</v>
      </c>
      <c r="L343" s="189">
        <f t="shared" si="50"/>
        <v>6.25E-2</v>
      </c>
      <c r="M343" s="183"/>
      <c r="N343" s="183">
        <f t="shared" si="51"/>
        <v>1</v>
      </c>
      <c r="O343" s="183">
        <f t="shared" si="46"/>
        <v>1</v>
      </c>
      <c r="P343" s="90" t="s">
        <v>39</v>
      </c>
      <c r="Q343" s="91">
        <f t="shared" si="47"/>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48"/>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49"/>
        <v>6.25E-2</v>
      </c>
      <c r="K344" s="189">
        <f>SUMIFS(Table1[Horas efetivas],Table1[Tabela],Plano_V3!E344,Table1[Campo],Plano_V3!F344)</f>
        <v>0.5</v>
      </c>
      <c r="L344" s="189">
        <f t="shared" si="50"/>
        <v>6.25E-2</v>
      </c>
      <c r="M344" s="183"/>
      <c r="N344" s="183">
        <f t="shared" si="51"/>
        <v>1</v>
      </c>
      <c r="O344" s="183">
        <f t="shared" si="46"/>
        <v>1</v>
      </c>
      <c r="P344" s="90" t="s">
        <v>39</v>
      </c>
      <c r="Q344" s="91">
        <f t="shared" si="47"/>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48"/>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49"/>
        <v>6.25E-2</v>
      </c>
      <c r="K345" s="189">
        <f>SUMIFS(Table1[Horas efetivas],Table1[Tabela],Plano_V3!E345,Table1[Campo],Plano_V3!F345)</f>
        <v>0.5</v>
      </c>
      <c r="L345" s="189">
        <f t="shared" si="50"/>
        <v>6.25E-2</v>
      </c>
      <c r="M345" s="183"/>
      <c r="N345" s="183">
        <f t="shared" si="51"/>
        <v>1</v>
      </c>
      <c r="O345" s="183">
        <f t="shared" ref="O345:O408" si="52">N345-M345</f>
        <v>1</v>
      </c>
      <c r="P345" s="90" t="s">
        <v>39</v>
      </c>
      <c r="Q345" s="91">
        <f t="shared" si="47"/>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48"/>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49"/>
        <v>7.4999999999999997E-2</v>
      </c>
      <c r="K346" s="189">
        <f>SUMIFS(Table1[Horas efetivas],Table1[Tabela],Plano_V3!E346,Table1[Campo],Plano_V3!F346)</f>
        <v>0.6</v>
      </c>
      <c r="L346" s="189">
        <f t="shared" si="50"/>
        <v>7.4999999999999997E-2</v>
      </c>
      <c r="M346" s="183"/>
      <c r="N346" s="183">
        <f t="shared" si="51"/>
        <v>1</v>
      </c>
      <c r="O346" s="183">
        <f t="shared" si="52"/>
        <v>1</v>
      </c>
      <c r="P346" s="90" t="s">
        <v>39</v>
      </c>
      <c r="Q346" s="91">
        <f t="shared" si="47"/>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48"/>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49"/>
        <v>6.25E-2</v>
      </c>
      <c r="K347" s="189">
        <f>SUMIFS(Table1[Horas efetivas],Table1[Tabela],Plano_V3!E347,Table1[Campo],Plano_V3!F347)</f>
        <v>0.5</v>
      </c>
      <c r="L347" s="189">
        <f t="shared" si="50"/>
        <v>6.25E-2</v>
      </c>
      <c r="M347" s="183"/>
      <c r="N347" s="183">
        <f t="shared" si="51"/>
        <v>1</v>
      </c>
      <c r="O347" s="183">
        <f t="shared" si="52"/>
        <v>1</v>
      </c>
      <c r="P347" s="90" t="s">
        <v>39</v>
      </c>
      <c r="Q347" s="91">
        <f t="shared" si="47"/>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48"/>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49"/>
        <v>6.25E-2</v>
      </c>
      <c r="K348" s="189">
        <f>SUMIFS(Table1[Horas efetivas],Table1[Tabela],Plano_V3!E348,Table1[Campo],Plano_V3!F348)</f>
        <v>0.5</v>
      </c>
      <c r="L348" s="189">
        <f t="shared" si="50"/>
        <v>6.25E-2</v>
      </c>
      <c r="M348" s="183"/>
      <c r="N348" s="183">
        <f t="shared" si="51"/>
        <v>1</v>
      </c>
      <c r="O348" s="183">
        <f t="shared" si="52"/>
        <v>1</v>
      </c>
      <c r="P348" s="90" t="s">
        <v>39</v>
      </c>
      <c r="Q348" s="91">
        <f t="shared" si="47"/>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48"/>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49"/>
        <v>7.4999999999999997E-2</v>
      </c>
      <c r="K349" s="189">
        <f>SUMIFS(Table1[Horas efetivas],Table1[Tabela],Plano_V3!E349,Table1[Campo],Plano_V3!F349)</f>
        <v>0.6</v>
      </c>
      <c r="L349" s="189">
        <f t="shared" si="50"/>
        <v>7.4999999999999997E-2</v>
      </c>
      <c r="M349" s="183"/>
      <c r="N349" s="183">
        <f t="shared" si="51"/>
        <v>1</v>
      </c>
      <c r="O349" s="183">
        <f t="shared" si="52"/>
        <v>1</v>
      </c>
      <c r="P349" s="90" t="s">
        <v>39</v>
      </c>
      <c r="Q349" s="91">
        <f t="shared" si="47"/>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48"/>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49"/>
        <v>7.4999999999999997E-2</v>
      </c>
      <c r="K350" s="189">
        <f>SUMIFS(Table1[Horas efetivas],Table1[Tabela],Plano_V3!E350,Table1[Campo],Plano_V3!F350)</f>
        <v>0.6</v>
      </c>
      <c r="L350" s="189">
        <f t="shared" si="50"/>
        <v>7.4999999999999997E-2</v>
      </c>
      <c r="M350" s="183"/>
      <c r="N350" s="183">
        <f t="shared" si="51"/>
        <v>1</v>
      </c>
      <c r="O350" s="183">
        <f t="shared" si="52"/>
        <v>1</v>
      </c>
      <c r="P350" s="90" t="s">
        <v>39</v>
      </c>
      <c r="Q350" s="91">
        <f t="shared" si="47"/>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48"/>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49"/>
        <v>7.4999999999999997E-2</v>
      </c>
      <c r="K351" s="189">
        <f>SUMIFS(Table1[Horas efetivas],Table1[Tabela],Plano_V3!E351,Table1[Campo],Plano_V3!F351)</f>
        <v>0.6</v>
      </c>
      <c r="L351" s="189">
        <f t="shared" si="50"/>
        <v>7.4999999999999997E-2</v>
      </c>
      <c r="M351" s="183"/>
      <c r="N351" s="183">
        <f t="shared" si="51"/>
        <v>1</v>
      </c>
      <c r="O351" s="183">
        <f t="shared" si="52"/>
        <v>1</v>
      </c>
      <c r="P351" s="90" t="s">
        <v>39</v>
      </c>
      <c r="Q351" s="91">
        <f t="shared" si="47"/>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48"/>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49"/>
        <v>6.25E-2</v>
      </c>
      <c r="K352" s="189">
        <f>SUMIFS(Table1[Horas efetivas],Table1[Tabela],Plano_V3!E352,Table1[Campo],Plano_V3!F352)</f>
        <v>0.5</v>
      </c>
      <c r="L352" s="189">
        <f t="shared" si="50"/>
        <v>6.25E-2</v>
      </c>
      <c r="M352" s="183"/>
      <c r="N352" s="183">
        <f t="shared" si="51"/>
        <v>1</v>
      </c>
      <c r="O352" s="183">
        <f t="shared" si="52"/>
        <v>1</v>
      </c>
      <c r="P352" s="90" t="s">
        <v>39</v>
      </c>
      <c r="Q352" s="91">
        <f t="shared" si="47"/>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48"/>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49"/>
        <v>6.25E-2</v>
      </c>
      <c r="K353" s="189">
        <f>SUMIFS(Table1[Horas efetivas],Table1[Tabela],Plano_V3!E353,Table1[Campo],Plano_V3!F353)</f>
        <v>0.5</v>
      </c>
      <c r="L353" s="189">
        <f t="shared" si="50"/>
        <v>6.25E-2</v>
      </c>
      <c r="M353" s="183"/>
      <c r="N353" s="183">
        <f t="shared" si="51"/>
        <v>1</v>
      </c>
      <c r="O353" s="183">
        <f t="shared" si="52"/>
        <v>1</v>
      </c>
      <c r="P353" s="90" t="s">
        <v>39</v>
      </c>
      <c r="Q353" s="91">
        <f t="shared" si="47"/>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48"/>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49"/>
        <v>6.25E-2</v>
      </c>
      <c r="K354" s="189">
        <f>SUMIFS(Table1[Horas efetivas],Table1[Tabela],Plano_V3!E354,Table1[Campo],Plano_V3!F354)</f>
        <v>0.5</v>
      </c>
      <c r="L354" s="189">
        <f t="shared" si="50"/>
        <v>6.25E-2</v>
      </c>
      <c r="M354" s="183"/>
      <c r="N354" s="183">
        <f t="shared" si="51"/>
        <v>1</v>
      </c>
      <c r="O354" s="183">
        <f t="shared" si="52"/>
        <v>1</v>
      </c>
      <c r="P354" s="90" t="s">
        <v>39</v>
      </c>
      <c r="Q354" s="91">
        <f t="shared" si="47"/>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48"/>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49"/>
        <v>6.25E-2</v>
      </c>
      <c r="K355" s="189">
        <f>SUMIFS(Table1[Horas efetivas],Table1[Tabela],Plano_V3!E355,Table1[Campo],Plano_V3!F355)</f>
        <v>0.5</v>
      </c>
      <c r="L355" s="189">
        <f t="shared" si="50"/>
        <v>6.25E-2</v>
      </c>
      <c r="M355" s="183"/>
      <c r="N355" s="183">
        <f t="shared" si="51"/>
        <v>1</v>
      </c>
      <c r="O355" s="183">
        <f t="shared" si="52"/>
        <v>1</v>
      </c>
      <c r="P355" s="90" t="s">
        <v>39</v>
      </c>
      <c r="Q355" s="91">
        <f t="shared" si="47"/>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48"/>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49"/>
        <v>0.125</v>
      </c>
      <c r="K356" s="189">
        <f>SUMIFS(Table1[Horas efetivas],Table1[Tabela],Plano_V3!E356,Table1[Campo],Plano_V3!F356)</f>
        <v>1</v>
      </c>
      <c r="L356" s="189">
        <f t="shared" si="50"/>
        <v>0.125</v>
      </c>
      <c r="M356" s="183"/>
      <c r="N356" s="183">
        <f t="shared" si="51"/>
        <v>1</v>
      </c>
      <c r="O356" s="183">
        <f t="shared" si="52"/>
        <v>1</v>
      </c>
      <c r="P356" s="90" t="s">
        <v>39</v>
      </c>
      <c r="Q356" s="91">
        <f t="shared" ref="Q356:Q419" si="53">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48"/>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49"/>
        <v>6.25E-2</v>
      </c>
      <c r="K357" s="189">
        <f>SUMIFS(Table1[Horas efetivas],Table1[Tabela],Plano_V3!E357,Table1[Campo],Plano_V3!F357)</f>
        <v>0.5</v>
      </c>
      <c r="L357" s="189">
        <f t="shared" si="50"/>
        <v>6.25E-2</v>
      </c>
      <c r="M357" s="183"/>
      <c r="N357" s="183">
        <f t="shared" si="51"/>
        <v>1</v>
      </c>
      <c r="O357" s="183">
        <f t="shared" si="52"/>
        <v>1</v>
      </c>
      <c r="P357" s="90" t="s">
        <v>39</v>
      </c>
      <c r="Q357" s="91">
        <f t="shared" si="53"/>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54">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49"/>
        <v>6.25E-2</v>
      </c>
      <c r="K358" s="189">
        <f>SUMIFS(Table1[Horas efetivas],Table1[Tabela],Plano_V3!E358,Table1[Campo],Plano_V3!F358)</f>
        <v>0.5</v>
      </c>
      <c r="L358" s="189">
        <f t="shared" si="50"/>
        <v>6.25E-2</v>
      </c>
      <c r="M358" s="183"/>
      <c r="N358" s="183">
        <f t="shared" si="51"/>
        <v>1</v>
      </c>
      <c r="O358" s="183">
        <f t="shared" si="52"/>
        <v>1</v>
      </c>
      <c r="P358" s="90" t="s">
        <v>39</v>
      </c>
      <c r="Q358" s="91">
        <f t="shared" si="53"/>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54"/>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49"/>
        <v>6.25E-2</v>
      </c>
      <c r="K359" s="189">
        <f>SUMIFS(Table1[Horas efetivas],Table1[Tabela],Plano_V3!E359,Table1[Campo],Plano_V3!F359)</f>
        <v>0.5</v>
      </c>
      <c r="L359" s="189">
        <f t="shared" si="50"/>
        <v>6.25E-2</v>
      </c>
      <c r="M359" s="183"/>
      <c r="N359" s="183">
        <f t="shared" si="51"/>
        <v>1</v>
      </c>
      <c r="O359" s="183">
        <f t="shared" si="52"/>
        <v>1</v>
      </c>
      <c r="P359" s="90" t="s">
        <v>39</v>
      </c>
      <c r="Q359" s="91">
        <f t="shared" si="53"/>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4"/>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49"/>
        <v>6.25E-2</v>
      </c>
      <c r="K360" s="189">
        <f>SUMIFS(Table1[Horas efetivas],Table1[Tabela],Plano_V3!E360,Table1[Campo],Plano_V3!F360)</f>
        <v>0.5</v>
      </c>
      <c r="L360" s="189">
        <f t="shared" si="50"/>
        <v>6.25E-2</v>
      </c>
      <c r="M360" s="183"/>
      <c r="N360" s="183">
        <f t="shared" si="51"/>
        <v>1</v>
      </c>
      <c r="O360" s="183">
        <f t="shared" si="52"/>
        <v>1</v>
      </c>
      <c r="P360" s="90" t="s">
        <v>39</v>
      </c>
      <c r="Q360" s="91">
        <f t="shared" si="53"/>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4"/>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49"/>
        <v>6.25E-2</v>
      </c>
      <c r="K361" s="189">
        <f>SUMIFS(Table1[Horas efetivas],Table1[Tabela],Plano_V3!E361,Table1[Campo],Plano_V3!F361)</f>
        <v>0</v>
      </c>
      <c r="L361" s="189">
        <f t="shared" si="50"/>
        <v>0</v>
      </c>
      <c r="M361" s="183"/>
      <c r="N361" s="183">
        <f t="shared" si="51"/>
        <v>0</v>
      </c>
      <c r="O361" s="183">
        <f t="shared" si="52"/>
        <v>0</v>
      </c>
      <c r="P361" s="90" t="s">
        <v>39</v>
      </c>
      <c r="Q361" s="91">
        <f t="shared" si="53"/>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4"/>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49"/>
        <v>6.25E-2</v>
      </c>
      <c r="K362" s="189">
        <f>SUMIFS(Table1[Horas efetivas],Table1[Tabela],Plano_V3!E362,Table1[Campo],Plano_V3!F362)</f>
        <v>0.5</v>
      </c>
      <c r="L362" s="189">
        <f t="shared" si="50"/>
        <v>6.25E-2</v>
      </c>
      <c r="M362" s="183"/>
      <c r="N362" s="183">
        <f t="shared" si="51"/>
        <v>1</v>
      </c>
      <c r="O362" s="183">
        <f t="shared" si="52"/>
        <v>1</v>
      </c>
      <c r="P362" s="90" t="s">
        <v>39</v>
      </c>
      <c r="Q362" s="91">
        <f t="shared" si="53"/>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4"/>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49"/>
        <v>6.25E-2</v>
      </c>
      <c r="K363" s="189">
        <f>SUMIFS(Table1[Horas efetivas],Table1[Tabela],Plano_V3!E363,Table1[Campo],Plano_V3!F363)</f>
        <v>0.5</v>
      </c>
      <c r="L363" s="189">
        <f t="shared" si="50"/>
        <v>6.25E-2</v>
      </c>
      <c r="M363" s="183"/>
      <c r="N363" s="183">
        <f t="shared" si="51"/>
        <v>1</v>
      </c>
      <c r="O363" s="183">
        <f t="shared" si="52"/>
        <v>1</v>
      </c>
      <c r="P363" s="90" t="s">
        <v>39</v>
      </c>
      <c r="Q363" s="91">
        <f t="shared" si="53"/>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4"/>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49"/>
        <v>6.25E-2</v>
      </c>
      <c r="K364" s="189">
        <f>SUMIFS(Table1[Horas efetivas],Table1[Tabela],Plano_V3!E364,Table1[Campo],Plano_V3!F364)</f>
        <v>0.5</v>
      </c>
      <c r="L364" s="189">
        <f t="shared" si="50"/>
        <v>6.25E-2</v>
      </c>
      <c r="M364" s="183"/>
      <c r="N364" s="183">
        <f t="shared" si="51"/>
        <v>1</v>
      </c>
      <c r="O364" s="183">
        <f t="shared" si="52"/>
        <v>1</v>
      </c>
      <c r="P364" s="90" t="s">
        <v>39</v>
      </c>
      <c r="Q364" s="91">
        <f t="shared" si="53"/>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4"/>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49"/>
        <v>6.25E-2</v>
      </c>
      <c r="K365" s="189">
        <f>SUMIFS(Table1[Horas efetivas],Table1[Tabela],Plano_V3!E365,Table1[Campo],Plano_V3!F365)</f>
        <v>0.5</v>
      </c>
      <c r="L365" s="189">
        <f t="shared" si="50"/>
        <v>6.25E-2</v>
      </c>
      <c r="M365" s="183"/>
      <c r="N365" s="183">
        <f t="shared" si="51"/>
        <v>1</v>
      </c>
      <c r="O365" s="183">
        <f t="shared" si="52"/>
        <v>1</v>
      </c>
      <c r="P365" s="90" t="s">
        <v>39</v>
      </c>
      <c r="Q365" s="91">
        <f t="shared" si="53"/>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4"/>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49"/>
        <v>6.25E-2</v>
      </c>
      <c r="K366" s="189">
        <f>SUMIFS(Table1[Horas efetivas],Table1[Tabela],Plano_V3!E366,Table1[Campo],Plano_V3!F366)</f>
        <v>0.5</v>
      </c>
      <c r="L366" s="189">
        <f t="shared" si="50"/>
        <v>6.25E-2</v>
      </c>
      <c r="M366" s="183"/>
      <c r="N366" s="183">
        <f t="shared" si="51"/>
        <v>1</v>
      </c>
      <c r="O366" s="183">
        <f t="shared" si="52"/>
        <v>1</v>
      </c>
      <c r="P366" s="90" t="s">
        <v>39</v>
      </c>
      <c r="Q366" s="91">
        <f t="shared" si="53"/>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4"/>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49"/>
        <v>6.25E-2</v>
      </c>
      <c r="K367" s="189">
        <f>SUMIFS(Table1[Horas efetivas],Table1[Tabela],Plano_V3!E367,Table1[Campo],Plano_V3!F367)</f>
        <v>0.5</v>
      </c>
      <c r="L367" s="189">
        <f t="shared" si="50"/>
        <v>6.25E-2</v>
      </c>
      <c r="M367" s="183"/>
      <c r="N367" s="183">
        <f t="shared" si="51"/>
        <v>1</v>
      </c>
      <c r="O367" s="183">
        <f t="shared" si="52"/>
        <v>1</v>
      </c>
      <c r="P367" s="90" t="s">
        <v>39</v>
      </c>
      <c r="Q367" s="91">
        <f t="shared" si="53"/>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4"/>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49"/>
        <v>7.4999999999999997E-2</v>
      </c>
      <c r="K368" s="189">
        <f>SUMIFS(Table1[Horas efetivas],Table1[Tabela],Plano_V3!E368,Table1[Campo],Plano_V3!F368)</f>
        <v>0.6</v>
      </c>
      <c r="L368" s="189">
        <f t="shared" si="50"/>
        <v>7.4999999999999997E-2</v>
      </c>
      <c r="M368" s="183"/>
      <c r="N368" s="183">
        <f t="shared" si="51"/>
        <v>1</v>
      </c>
      <c r="O368" s="183">
        <f t="shared" si="52"/>
        <v>1</v>
      </c>
      <c r="P368" s="90" t="s">
        <v>39</v>
      </c>
      <c r="Q368" s="91">
        <f t="shared" si="53"/>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4"/>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49"/>
        <v>7.4999999999999997E-2</v>
      </c>
      <c r="K369" s="189">
        <f>SUMIFS(Table1[Horas efetivas],Table1[Tabela],Plano_V3!E369,Table1[Campo],Plano_V3!F369)</f>
        <v>0.6</v>
      </c>
      <c r="L369" s="189">
        <f t="shared" si="50"/>
        <v>7.4999999999999997E-2</v>
      </c>
      <c r="M369" s="183"/>
      <c r="N369" s="183">
        <f t="shared" si="51"/>
        <v>1</v>
      </c>
      <c r="O369" s="183">
        <f t="shared" si="52"/>
        <v>1</v>
      </c>
      <c r="P369" s="90" t="s">
        <v>39</v>
      </c>
      <c r="Q369" s="91">
        <f t="shared" si="53"/>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4"/>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52"/>
        <v>0.25</v>
      </c>
      <c r="P370" s="88"/>
      <c r="Q370" s="91">
        <f t="shared" si="53"/>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54"/>
        <v/>
      </c>
      <c r="B371" s="64" t="s">
        <v>26</v>
      </c>
      <c r="C371" s="97" t="s">
        <v>311</v>
      </c>
      <c r="D371" s="97"/>
      <c r="E371" s="104"/>
      <c r="F371" s="97"/>
      <c r="G371" s="97"/>
      <c r="H371" s="97"/>
      <c r="I371" s="188">
        <f>SUM(I372:I455)</f>
        <v>796.3875000000013</v>
      </c>
      <c r="J371" s="188">
        <f>ROUNDUP(I371/8,0)</f>
        <v>100</v>
      </c>
      <c r="K371" s="188">
        <f>SUM(K372:K455)</f>
        <v>660.76874999999995</v>
      </c>
      <c r="L371" s="188">
        <f>ROUNDUP(K371/8,0)</f>
        <v>83</v>
      </c>
      <c r="M371" s="187">
        <f>SUMIFS(R371:ES371,$R$9:$ES$9,"S")/J371</f>
        <v>0.32500000000000001</v>
      </c>
      <c r="N371" s="187">
        <f>IFERROR(L371/J371,0)-15%</f>
        <v>0.67999999999999994</v>
      </c>
      <c r="O371" s="187">
        <f t="shared" si="52"/>
        <v>0.35499999999999993</v>
      </c>
      <c r="P371" s="194" t="s">
        <v>1924</v>
      </c>
      <c r="Q371" s="91">
        <f t="shared" si="53"/>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54"/>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55">I372/8</f>
        <v>1</v>
      </c>
      <c r="K372" s="189">
        <f>SUMIFS(Table1[Horas efetivas],Table1[Tabela],Plano_V3!E372,Table1[Campo],Plano_V3!F372)</f>
        <v>8</v>
      </c>
      <c r="L372" s="189">
        <f t="shared" ref="L372:L435" si="56">K372/8</f>
        <v>1</v>
      </c>
      <c r="M372" s="183"/>
      <c r="N372" s="183">
        <f t="shared" ref="N372:N435" si="57">L372/J372</f>
        <v>1</v>
      </c>
      <c r="O372" s="183">
        <f t="shared" si="52"/>
        <v>1</v>
      </c>
      <c r="P372" s="88" t="s">
        <v>313</v>
      </c>
      <c r="Q372" s="91">
        <f t="shared" si="53"/>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54"/>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55"/>
        <v>0.51249999999999996</v>
      </c>
      <c r="K373" s="189">
        <f>SUMIFS(Table1[Horas efetivas],Table1[Tabela],Plano_V3!E373,Table1[Campo],Plano_V3!F373)</f>
        <v>4.0999999999999996</v>
      </c>
      <c r="L373" s="189">
        <f t="shared" si="56"/>
        <v>0.51249999999999996</v>
      </c>
      <c r="M373" s="183"/>
      <c r="N373" s="183">
        <f t="shared" si="57"/>
        <v>1</v>
      </c>
      <c r="O373" s="183">
        <f t="shared" si="52"/>
        <v>1</v>
      </c>
      <c r="P373" s="88" t="s">
        <v>313</v>
      </c>
      <c r="Q373" s="91">
        <f t="shared" si="53"/>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4"/>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5"/>
        <v>0.51249999999999996</v>
      </c>
      <c r="K374" s="189">
        <f>SUMIFS(Table1[Horas efetivas],Table1[Tabela],Plano_V3!E374,Table1[Campo],Plano_V3!F374)</f>
        <v>4.0999999999999996</v>
      </c>
      <c r="L374" s="189">
        <f t="shared" si="56"/>
        <v>0.51249999999999996</v>
      </c>
      <c r="M374" s="183"/>
      <c r="N374" s="183">
        <f t="shared" si="57"/>
        <v>1</v>
      </c>
      <c r="O374" s="183">
        <f t="shared" si="52"/>
        <v>1</v>
      </c>
      <c r="P374" s="88" t="s">
        <v>313</v>
      </c>
      <c r="Q374" s="91">
        <f t="shared" si="53"/>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4"/>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5"/>
        <v>0.51249999999999996</v>
      </c>
      <c r="K375" s="189">
        <f>SUMIFS(Table1[Horas efetivas],Table1[Tabela],Plano_V3!E375,Table1[Campo],Plano_V3!F375)</f>
        <v>4.0999999999999996</v>
      </c>
      <c r="L375" s="189">
        <f t="shared" si="56"/>
        <v>0.51249999999999996</v>
      </c>
      <c r="M375" s="183"/>
      <c r="N375" s="183">
        <f t="shared" si="57"/>
        <v>1</v>
      </c>
      <c r="O375" s="183">
        <f t="shared" si="52"/>
        <v>1</v>
      </c>
      <c r="P375" s="88" t="s">
        <v>313</v>
      </c>
      <c r="Q375" s="91">
        <f t="shared" si="53"/>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4"/>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5"/>
        <v>0.51249999999999996</v>
      </c>
      <c r="K376" s="189">
        <f>SUMIFS(Table1[Horas efetivas],Table1[Tabela],Plano_V3!E376,Table1[Campo],Plano_V3!F376)</f>
        <v>4.0999999999999996</v>
      </c>
      <c r="L376" s="189">
        <f t="shared" si="56"/>
        <v>0.51249999999999996</v>
      </c>
      <c r="M376" s="183"/>
      <c r="N376" s="183">
        <f t="shared" si="57"/>
        <v>1</v>
      </c>
      <c r="O376" s="183">
        <f t="shared" si="52"/>
        <v>1</v>
      </c>
      <c r="P376" s="88" t="s">
        <v>313</v>
      </c>
      <c r="Q376" s="91">
        <f t="shared" si="53"/>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4"/>
        <v>modesg_out_bens_imoveisflg_rsc_fsc_agd</v>
      </c>
      <c r="B377" s="68" t="s">
        <v>26</v>
      </c>
      <c r="C377" s="69" t="s">
        <v>311</v>
      </c>
      <c r="D377" s="65" t="s">
        <v>40</v>
      </c>
      <c r="E377" s="67" t="s">
        <v>312</v>
      </c>
      <c r="F377" s="65" t="s">
        <v>283</v>
      </c>
      <c r="G377" s="65" t="str">
        <f>INDEX(Auxiliar!$B$16:$B$24,MATCH(Plano_V3!H377,Auxiliar!$C$16:$C$24,0),1)</f>
        <v>2.2 Em Re-especificação</v>
      </c>
      <c r="H377" s="65">
        <f>VLOOKUP(A377,'Aux - pivots1'!$A:$B,2,0)</f>
        <v>3</v>
      </c>
      <c r="I377" s="189">
        <f>SUMIFS(Table1[Estimação (horas)],Table1[Tabela],Plano_V3!E377,Table1[Campo],Plano_V3!F377)</f>
        <v>16.100000000000001</v>
      </c>
      <c r="J377" s="189">
        <f t="shared" si="55"/>
        <v>2.0125000000000002</v>
      </c>
      <c r="K377" s="189">
        <f>SUMIFS(Table1[Horas efetivas],Table1[Tabela],Plano_V3!E377,Table1[Campo],Plano_V3!F377)</f>
        <v>8.0500000000000007</v>
      </c>
      <c r="L377" s="189">
        <f t="shared" si="56"/>
        <v>1.0062500000000001</v>
      </c>
      <c r="M377" s="183"/>
      <c r="N377" s="183">
        <f t="shared" si="57"/>
        <v>0.5</v>
      </c>
      <c r="O377" s="183">
        <f t="shared" si="52"/>
        <v>0.5</v>
      </c>
      <c r="P377" s="88" t="s">
        <v>313</v>
      </c>
      <c r="Q377" s="91">
        <f t="shared" si="53"/>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4"/>
        <v>modesg_out_bens_imoveisflg_rsc_fsc_crnc</v>
      </c>
      <c r="B378" s="68" t="s">
        <v>26</v>
      </c>
      <c r="C378" s="69" t="s">
        <v>311</v>
      </c>
      <c r="D378" s="65" t="s">
        <v>40</v>
      </c>
      <c r="E378" s="67" t="s">
        <v>312</v>
      </c>
      <c r="F378" s="65" t="s">
        <v>284</v>
      </c>
      <c r="G378" s="65" t="str">
        <f>INDEX(Auxiliar!$B$16:$B$24,MATCH(Plano_V3!H378,Auxiliar!$C$16:$C$24,0),1)</f>
        <v>2.2 Em Re-especificação</v>
      </c>
      <c r="H378" s="65">
        <f>VLOOKUP(A378,'Aux - pivots1'!$A:$B,2,0)</f>
        <v>3</v>
      </c>
      <c r="I378" s="189">
        <f>SUMIFS(Table1[Estimação (horas)],Table1[Tabela],Plano_V3!E378,Table1[Campo],Plano_V3!F378)</f>
        <v>16.100000000000001</v>
      </c>
      <c r="J378" s="189">
        <f t="shared" si="55"/>
        <v>2.0125000000000002</v>
      </c>
      <c r="K378" s="189">
        <f>SUMIFS(Table1[Horas efetivas],Table1[Tabela],Plano_V3!E378,Table1[Campo],Plano_V3!F378)</f>
        <v>8.0500000000000007</v>
      </c>
      <c r="L378" s="189">
        <f t="shared" si="56"/>
        <v>1.0062500000000001</v>
      </c>
      <c r="M378" s="183"/>
      <c r="N378" s="183">
        <f t="shared" si="57"/>
        <v>0.5</v>
      </c>
      <c r="O378" s="183">
        <f t="shared" si="52"/>
        <v>0.5</v>
      </c>
      <c r="P378" s="88" t="s">
        <v>313</v>
      </c>
      <c r="Q378" s="91">
        <f t="shared" si="53"/>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4"/>
        <v>modesg_out_bens_imoveisorigem_flg_rsc_fsc_agd</v>
      </c>
      <c r="B379" s="68" t="s">
        <v>26</v>
      </c>
      <c r="C379" s="69" t="s">
        <v>311</v>
      </c>
      <c r="D379" s="65" t="s">
        <v>40</v>
      </c>
      <c r="E379" s="67" t="s">
        <v>312</v>
      </c>
      <c r="F379" s="65" t="s">
        <v>318</v>
      </c>
      <c r="G379" s="65" t="str">
        <f>INDEX(Auxiliar!$B$16:$B$24,MATCH(Plano_V3!H379,Auxiliar!$C$16:$C$24,0),1)</f>
        <v>2.2 Em Re-especificação</v>
      </c>
      <c r="H379" s="65">
        <f>VLOOKUP(A379,'Aux - pivots1'!$A:$B,2,0)</f>
        <v>3</v>
      </c>
      <c r="I379" s="189">
        <f>SUMIFS(Table1[Estimação (horas)],Table1[Tabela],Plano_V3!E379,Table1[Campo],Plano_V3!F379)</f>
        <v>4.0999999999999996</v>
      </c>
      <c r="J379" s="189">
        <f t="shared" si="55"/>
        <v>0.51249999999999996</v>
      </c>
      <c r="K379" s="189">
        <f>SUMIFS(Table1[Horas efetivas],Table1[Tabela],Plano_V3!E379,Table1[Campo],Plano_V3!F379)</f>
        <v>2.0499999999999998</v>
      </c>
      <c r="L379" s="189">
        <f t="shared" si="56"/>
        <v>0.25624999999999998</v>
      </c>
      <c r="M379" s="183"/>
      <c r="N379" s="183">
        <f t="shared" si="57"/>
        <v>0.5</v>
      </c>
      <c r="O379" s="183">
        <f t="shared" si="52"/>
        <v>0.5</v>
      </c>
      <c r="P379" s="88" t="s">
        <v>313</v>
      </c>
      <c r="Q379" s="91">
        <f t="shared" si="53"/>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4"/>
        <v>modesg_out_bens_imoveisorigem_flg_rsc_fsc_crnc</v>
      </c>
      <c r="B380" s="68" t="s">
        <v>26</v>
      </c>
      <c r="C380" s="69" t="s">
        <v>311</v>
      </c>
      <c r="D380" s="65" t="s">
        <v>40</v>
      </c>
      <c r="E380" s="67" t="s">
        <v>312</v>
      </c>
      <c r="F380" s="65" t="s">
        <v>319</v>
      </c>
      <c r="G380" s="65" t="str">
        <f>INDEX(Auxiliar!$B$16:$B$24,MATCH(Plano_V3!H380,Auxiliar!$C$16:$C$24,0),1)</f>
        <v>2.2 Em Re-especificação</v>
      </c>
      <c r="H380" s="65">
        <f>VLOOKUP(A380,'Aux - pivots1'!$A:$B,2,0)</f>
        <v>3</v>
      </c>
      <c r="I380" s="189">
        <f>SUMIFS(Table1[Estimação (horas)],Table1[Tabela],Plano_V3!E380,Table1[Campo],Plano_V3!F380)</f>
        <v>4.0999999999999996</v>
      </c>
      <c r="J380" s="189">
        <f t="shared" si="55"/>
        <v>0.51249999999999996</v>
      </c>
      <c r="K380" s="189">
        <f>SUMIFS(Table1[Horas efetivas],Table1[Tabela],Plano_V3!E380,Table1[Campo],Plano_V3!F380)</f>
        <v>2.0499999999999998</v>
      </c>
      <c r="L380" s="189">
        <f t="shared" si="56"/>
        <v>0.25624999999999998</v>
      </c>
      <c r="M380" s="183"/>
      <c r="N380" s="183">
        <f t="shared" si="57"/>
        <v>0.5</v>
      </c>
      <c r="O380" s="183">
        <f t="shared" si="52"/>
        <v>0.5</v>
      </c>
      <c r="P380" s="88" t="s">
        <v>313</v>
      </c>
      <c r="Q380" s="91">
        <f t="shared" si="53"/>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4"/>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5"/>
        <v>0.51249999999999996</v>
      </c>
      <c r="K381" s="189">
        <f>SUMIFS(Table1[Horas efetivas],Table1[Tabela],Plano_V3!E381,Table1[Campo],Plano_V3!F381)</f>
        <v>4.0999999999999996</v>
      </c>
      <c r="L381" s="189">
        <f t="shared" si="56"/>
        <v>0.51249999999999996</v>
      </c>
      <c r="M381" s="183"/>
      <c r="N381" s="183">
        <f t="shared" si="57"/>
        <v>1</v>
      </c>
      <c r="O381" s="183">
        <f t="shared" si="52"/>
        <v>1</v>
      </c>
      <c r="P381" s="88" t="s">
        <v>313</v>
      </c>
      <c r="Q381" s="91">
        <f t="shared" si="53"/>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4"/>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5"/>
        <v>0.51249999999999996</v>
      </c>
      <c r="K382" s="189">
        <f>SUMIFS(Table1[Horas efetivas],Table1[Tabela],Plano_V3!E382,Table1[Campo],Plano_V3!F382)</f>
        <v>4.0999999999999996</v>
      </c>
      <c r="L382" s="189">
        <f t="shared" si="56"/>
        <v>0.51249999999999996</v>
      </c>
      <c r="M382" s="183"/>
      <c r="N382" s="183">
        <f t="shared" si="57"/>
        <v>1</v>
      </c>
      <c r="O382" s="183">
        <f t="shared" si="52"/>
        <v>1</v>
      </c>
      <c r="P382" s="88" t="s">
        <v>313</v>
      </c>
      <c r="Q382" s="91">
        <f t="shared" si="53"/>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4"/>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5"/>
        <v>0.51249999999999996</v>
      </c>
      <c r="K383" s="189">
        <f>SUMIFS(Table1[Horas efetivas],Table1[Tabela],Plano_V3!E383,Table1[Campo],Plano_V3!F383)</f>
        <v>4.0999999999999996</v>
      </c>
      <c r="L383" s="189">
        <f t="shared" si="56"/>
        <v>0.51249999999999996</v>
      </c>
      <c r="M383" s="183"/>
      <c r="N383" s="183">
        <f t="shared" si="57"/>
        <v>1</v>
      </c>
      <c r="O383" s="183">
        <f t="shared" si="52"/>
        <v>1</v>
      </c>
      <c r="P383" s="88" t="s">
        <v>313</v>
      </c>
      <c r="Q383" s="91">
        <f t="shared" si="53"/>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4"/>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5"/>
        <v>0.51249999999999996</v>
      </c>
      <c r="K384" s="189">
        <f>SUMIFS(Table1[Horas efetivas],Table1[Tabela],Plano_V3!E384,Table1[Campo],Plano_V3!F384)</f>
        <v>4.0999999999999996</v>
      </c>
      <c r="L384" s="189">
        <f t="shared" si="56"/>
        <v>0.51249999999999996</v>
      </c>
      <c r="M384" s="183"/>
      <c r="N384" s="183">
        <f t="shared" si="57"/>
        <v>1</v>
      </c>
      <c r="O384" s="183">
        <f t="shared" si="52"/>
        <v>1</v>
      </c>
      <c r="P384" s="88" t="s">
        <v>313</v>
      </c>
      <c r="Q384" s="91">
        <f t="shared" si="53"/>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4"/>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55"/>
        <v>1.0125</v>
      </c>
      <c r="K385" s="189">
        <f>SUMIFS(Table1[Horas efetivas],Table1[Tabela],Plano_V3!E385,Table1[Campo],Plano_V3!F385)</f>
        <v>8.1</v>
      </c>
      <c r="L385" s="189">
        <f t="shared" si="56"/>
        <v>1.0125</v>
      </c>
      <c r="M385" s="183"/>
      <c r="N385" s="183">
        <f t="shared" si="57"/>
        <v>1</v>
      </c>
      <c r="O385" s="183">
        <f t="shared" si="52"/>
        <v>1</v>
      </c>
      <c r="P385" s="88" t="s">
        <v>313</v>
      </c>
      <c r="Q385" s="91">
        <f t="shared" si="53"/>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4"/>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55"/>
        <v>1.0125</v>
      </c>
      <c r="K386" s="189">
        <f>SUMIFS(Table1[Horas efetivas],Table1[Tabela],Plano_V3!E386,Table1[Campo],Plano_V3!F386)</f>
        <v>8.1</v>
      </c>
      <c r="L386" s="189">
        <f t="shared" si="56"/>
        <v>1.0125</v>
      </c>
      <c r="M386" s="183"/>
      <c r="N386" s="183">
        <f t="shared" si="57"/>
        <v>1</v>
      </c>
      <c r="O386" s="183">
        <f t="shared" si="52"/>
        <v>1</v>
      </c>
      <c r="P386" s="88" t="s">
        <v>313</v>
      </c>
      <c r="Q386" s="91">
        <f t="shared" si="53"/>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4"/>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55"/>
        <v>0.51249999999999996</v>
      </c>
      <c r="K387" s="189">
        <f>SUMIFS(Table1[Horas efetivas],Table1[Tabela],Plano_V3!E387,Table1[Campo],Plano_V3!F387)</f>
        <v>4.0999999999999996</v>
      </c>
      <c r="L387" s="189">
        <f t="shared" si="56"/>
        <v>0.51249999999999996</v>
      </c>
      <c r="M387" s="183"/>
      <c r="N387" s="183">
        <f t="shared" si="57"/>
        <v>1</v>
      </c>
      <c r="O387" s="183">
        <f t="shared" si="52"/>
        <v>1</v>
      </c>
      <c r="P387" s="88" t="s">
        <v>313</v>
      </c>
      <c r="Q387" s="91">
        <f t="shared" si="53"/>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4"/>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5"/>
        <v>0.51249999999999996</v>
      </c>
      <c r="K388" s="189">
        <f>SUMIFS(Table1[Horas efetivas],Table1[Tabela],Plano_V3!E388,Table1[Campo],Plano_V3!F388)</f>
        <v>4.0999999999999996</v>
      </c>
      <c r="L388" s="189">
        <f t="shared" si="56"/>
        <v>0.51249999999999996</v>
      </c>
      <c r="M388" s="183"/>
      <c r="N388" s="183">
        <f t="shared" si="57"/>
        <v>1</v>
      </c>
      <c r="O388" s="183">
        <f t="shared" si="52"/>
        <v>1</v>
      </c>
      <c r="P388" s="88" t="s">
        <v>313</v>
      </c>
      <c r="Q388" s="91">
        <f t="shared" si="53"/>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4"/>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5"/>
        <v>0.51249999999999996</v>
      </c>
      <c r="K389" s="189">
        <f>SUMIFS(Table1[Horas efetivas],Table1[Tabela],Plano_V3!E389,Table1[Campo],Plano_V3!F389)</f>
        <v>4.0999999999999996</v>
      </c>
      <c r="L389" s="189">
        <f t="shared" si="56"/>
        <v>0.51249999999999996</v>
      </c>
      <c r="M389" s="183"/>
      <c r="N389" s="183">
        <f t="shared" si="57"/>
        <v>1</v>
      </c>
      <c r="O389" s="183">
        <f t="shared" si="52"/>
        <v>1</v>
      </c>
      <c r="P389" s="88" t="s">
        <v>313</v>
      </c>
      <c r="Q389" s="91">
        <f t="shared" si="53"/>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4"/>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5"/>
        <v>0.51249999999999996</v>
      </c>
      <c r="K390" s="189">
        <f>SUMIFS(Table1[Horas efetivas],Table1[Tabela],Plano_V3!E390,Table1[Campo],Plano_V3!F390)</f>
        <v>4.0999999999999996</v>
      </c>
      <c r="L390" s="189">
        <f t="shared" si="56"/>
        <v>0.51249999999999996</v>
      </c>
      <c r="M390" s="183"/>
      <c r="N390" s="183">
        <f t="shared" si="57"/>
        <v>1</v>
      </c>
      <c r="O390" s="183">
        <f t="shared" si="52"/>
        <v>1</v>
      </c>
      <c r="P390" s="88" t="s">
        <v>313</v>
      </c>
      <c r="Q390" s="91">
        <f t="shared" si="53"/>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4"/>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55"/>
        <v>1</v>
      </c>
      <c r="K391" s="189">
        <f>SUMIFS(Table1[Horas efetivas],Table1[Tabela],Plano_V3!E391,Table1[Campo],Plano_V3!F391)</f>
        <v>8</v>
      </c>
      <c r="L391" s="189">
        <f t="shared" si="56"/>
        <v>1</v>
      </c>
      <c r="M391" s="183"/>
      <c r="N391" s="183">
        <f t="shared" si="57"/>
        <v>1</v>
      </c>
      <c r="O391" s="183">
        <f t="shared" si="52"/>
        <v>1</v>
      </c>
      <c r="P391" s="88" t="s">
        <v>327</v>
      </c>
      <c r="Q391" s="91">
        <f t="shared" si="53"/>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4"/>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55"/>
        <v>2.0125000000000002</v>
      </c>
      <c r="K392" s="189">
        <f>SUMIFS(Table1[Horas efetivas],Table1[Tabela],Plano_V3!E392,Table1[Campo],Plano_V3!F392)</f>
        <v>16.100000000000001</v>
      </c>
      <c r="L392" s="189">
        <f t="shared" si="56"/>
        <v>2.0125000000000002</v>
      </c>
      <c r="M392" s="183"/>
      <c r="N392" s="183">
        <f t="shared" si="57"/>
        <v>1</v>
      </c>
      <c r="O392" s="183">
        <f t="shared" si="52"/>
        <v>1</v>
      </c>
      <c r="P392" s="88" t="s">
        <v>327</v>
      </c>
      <c r="Q392" s="91">
        <f t="shared" si="53"/>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4"/>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5"/>
        <v>2.0125000000000002</v>
      </c>
      <c r="K393" s="189">
        <f>SUMIFS(Table1[Horas efetivas],Table1[Tabela],Plano_V3!E393,Table1[Campo],Plano_V3!F393)</f>
        <v>16.100000000000001</v>
      </c>
      <c r="L393" s="189">
        <f t="shared" si="56"/>
        <v>2.0125000000000002</v>
      </c>
      <c r="M393" s="183"/>
      <c r="N393" s="183">
        <f t="shared" si="57"/>
        <v>1</v>
      </c>
      <c r="O393" s="183">
        <f t="shared" si="52"/>
        <v>1</v>
      </c>
      <c r="P393" s="88" t="s">
        <v>327</v>
      </c>
      <c r="Q393" s="91">
        <f t="shared" si="53"/>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4"/>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5"/>
        <v>2.0125000000000002</v>
      </c>
      <c r="K394" s="189">
        <f>SUMIFS(Table1[Horas efetivas],Table1[Tabela],Plano_V3!E394,Table1[Campo],Plano_V3!F394)</f>
        <v>16.100000000000001</v>
      </c>
      <c r="L394" s="189">
        <f t="shared" si="56"/>
        <v>2.0125000000000002</v>
      </c>
      <c r="M394" s="183"/>
      <c r="N394" s="183">
        <f t="shared" si="57"/>
        <v>1</v>
      </c>
      <c r="O394" s="183">
        <f t="shared" si="52"/>
        <v>1</v>
      </c>
      <c r="P394" s="88" t="s">
        <v>327</v>
      </c>
      <c r="Q394" s="91">
        <f t="shared" si="53"/>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4"/>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5"/>
        <v>2.0125000000000002</v>
      </c>
      <c r="K395" s="189">
        <f>SUMIFS(Table1[Horas efetivas],Table1[Tabela],Plano_V3!E395,Table1[Campo],Plano_V3!F395)</f>
        <v>16.100000000000001</v>
      </c>
      <c r="L395" s="189">
        <f t="shared" si="56"/>
        <v>2.0125000000000002</v>
      </c>
      <c r="M395" s="183"/>
      <c r="N395" s="183">
        <f t="shared" si="57"/>
        <v>1</v>
      </c>
      <c r="O395" s="183">
        <f t="shared" si="52"/>
        <v>1</v>
      </c>
      <c r="P395" s="88" t="s">
        <v>327</v>
      </c>
      <c r="Q395" s="91">
        <f t="shared" si="53"/>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4"/>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5"/>
        <v>2.0125000000000002</v>
      </c>
      <c r="K396" s="189">
        <f>SUMIFS(Table1[Horas efetivas],Table1[Tabela],Plano_V3!E396,Table1[Campo],Plano_V3!F396)</f>
        <v>16.100000000000001</v>
      </c>
      <c r="L396" s="189">
        <f t="shared" si="56"/>
        <v>2.0125000000000002</v>
      </c>
      <c r="M396" s="183"/>
      <c r="N396" s="183">
        <f t="shared" si="57"/>
        <v>1</v>
      </c>
      <c r="O396" s="183">
        <f t="shared" si="52"/>
        <v>1</v>
      </c>
      <c r="P396" s="88" t="s">
        <v>327</v>
      </c>
      <c r="Q396" s="91">
        <f t="shared" si="53"/>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4"/>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5"/>
        <v>2.0125000000000002</v>
      </c>
      <c r="K397" s="189">
        <f>SUMIFS(Table1[Horas efetivas],Table1[Tabela],Plano_V3!E397,Table1[Campo],Plano_V3!F397)</f>
        <v>16.100000000000001</v>
      </c>
      <c r="L397" s="189">
        <f t="shared" si="56"/>
        <v>2.0125000000000002</v>
      </c>
      <c r="M397" s="183"/>
      <c r="N397" s="183">
        <f t="shared" si="57"/>
        <v>1</v>
      </c>
      <c r="O397" s="183">
        <f t="shared" si="52"/>
        <v>1</v>
      </c>
      <c r="P397" s="88" t="s">
        <v>327</v>
      </c>
      <c r="Q397" s="91">
        <f t="shared" si="53"/>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4"/>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5"/>
        <v>2.0125000000000002</v>
      </c>
      <c r="K398" s="189">
        <f>SUMIFS(Table1[Horas efetivas],Table1[Tabela],Plano_V3!E398,Table1[Campo],Plano_V3!F398)</f>
        <v>16.100000000000001</v>
      </c>
      <c r="L398" s="189">
        <f t="shared" si="56"/>
        <v>2.0125000000000002</v>
      </c>
      <c r="M398" s="183"/>
      <c r="N398" s="183">
        <f t="shared" si="57"/>
        <v>1</v>
      </c>
      <c r="O398" s="183">
        <f t="shared" si="52"/>
        <v>1</v>
      </c>
      <c r="P398" s="88" t="s">
        <v>327</v>
      </c>
      <c r="Q398" s="91">
        <f t="shared" si="53"/>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4"/>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5"/>
        <v>2.0125000000000002</v>
      </c>
      <c r="K399" s="189">
        <f>SUMIFS(Table1[Horas efetivas],Table1[Tabela],Plano_V3!E399,Table1[Campo],Plano_V3!F399)</f>
        <v>16.100000000000001</v>
      </c>
      <c r="L399" s="189">
        <f t="shared" si="56"/>
        <v>2.0125000000000002</v>
      </c>
      <c r="M399" s="183"/>
      <c r="N399" s="183">
        <f t="shared" si="57"/>
        <v>1</v>
      </c>
      <c r="O399" s="183">
        <f t="shared" si="52"/>
        <v>1</v>
      </c>
      <c r="P399" s="88" t="s">
        <v>327</v>
      </c>
      <c r="Q399" s="91">
        <f t="shared" si="53"/>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4"/>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5"/>
        <v>2.0125000000000002</v>
      </c>
      <c r="K400" s="189">
        <f>SUMIFS(Table1[Horas efetivas],Table1[Tabela],Plano_V3!E400,Table1[Campo],Plano_V3!F400)</f>
        <v>16.100000000000001</v>
      </c>
      <c r="L400" s="189">
        <f t="shared" si="56"/>
        <v>2.0125000000000002</v>
      </c>
      <c r="M400" s="183"/>
      <c r="N400" s="183">
        <f t="shared" si="57"/>
        <v>1</v>
      </c>
      <c r="O400" s="183">
        <f t="shared" si="52"/>
        <v>1</v>
      </c>
      <c r="P400" s="88" t="s">
        <v>327</v>
      </c>
      <c r="Q400" s="91">
        <f t="shared" si="53"/>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4"/>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5"/>
        <v>2.0125000000000002</v>
      </c>
      <c r="K401" s="189">
        <f>SUMIFS(Table1[Horas efetivas],Table1[Tabela],Plano_V3!E401,Table1[Campo],Plano_V3!F401)</f>
        <v>16.100000000000001</v>
      </c>
      <c r="L401" s="189">
        <f t="shared" si="56"/>
        <v>2.0125000000000002</v>
      </c>
      <c r="M401" s="183"/>
      <c r="N401" s="183">
        <f t="shared" si="57"/>
        <v>1</v>
      </c>
      <c r="O401" s="183">
        <f t="shared" si="52"/>
        <v>1</v>
      </c>
      <c r="P401" s="88" t="s">
        <v>327</v>
      </c>
      <c r="Q401" s="91">
        <f t="shared" si="53"/>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4"/>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5"/>
        <v>2.0125000000000002</v>
      </c>
      <c r="K402" s="189">
        <f>SUMIFS(Table1[Horas efetivas],Table1[Tabela],Plano_V3!E402,Table1[Campo],Plano_V3!F402)</f>
        <v>16.100000000000001</v>
      </c>
      <c r="L402" s="189">
        <f t="shared" si="56"/>
        <v>2.0125000000000002</v>
      </c>
      <c r="M402" s="183"/>
      <c r="N402" s="183">
        <f t="shared" si="57"/>
        <v>1</v>
      </c>
      <c r="O402" s="183">
        <f t="shared" si="52"/>
        <v>1</v>
      </c>
      <c r="P402" s="88" t="s">
        <v>327</v>
      </c>
      <c r="Q402" s="91">
        <f t="shared" si="53"/>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4"/>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5"/>
        <v>2.0125000000000002</v>
      </c>
      <c r="K403" s="189">
        <f>SUMIFS(Table1[Horas efetivas],Table1[Tabela],Plano_V3!E403,Table1[Campo],Plano_V3!F403)</f>
        <v>16.100000000000001</v>
      </c>
      <c r="L403" s="189">
        <f t="shared" si="56"/>
        <v>2.0125000000000002</v>
      </c>
      <c r="M403" s="183"/>
      <c r="N403" s="183">
        <f t="shared" si="57"/>
        <v>1</v>
      </c>
      <c r="O403" s="183">
        <f t="shared" si="52"/>
        <v>1</v>
      </c>
      <c r="P403" s="88" t="s">
        <v>327</v>
      </c>
      <c r="Q403" s="91">
        <f t="shared" si="53"/>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4"/>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5"/>
        <v>2.0125000000000002</v>
      </c>
      <c r="K404" s="189">
        <f>SUMIFS(Table1[Horas efetivas],Table1[Tabela],Plano_V3!E404,Table1[Campo],Plano_V3!F404)</f>
        <v>16.100000000000001</v>
      </c>
      <c r="L404" s="189">
        <f t="shared" si="56"/>
        <v>2.0125000000000002</v>
      </c>
      <c r="M404" s="183"/>
      <c r="N404" s="183">
        <f t="shared" si="57"/>
        <v>1</v>
      </c>
      <c r="O404" s="183">
        <f t="shared" si="52"/>
        <v>1</v>
      </c>
      <c r="P404" s="88" t="s">
        <v>327</v>
      </c>
      <c r="Q404" s="91">
        <f t="shared" si="53"/>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4"/>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5"/>
        <v>2.0125000000000002</v>
      </c>
      <c r="K405" s="189">
        <f>SUMIFS(Table1[Horas efetivas],Table1[Tabela],Plano_V3!E405,Table1[Campo],Plano_V3!F405)</f>
        <v>16.100000000000001</v>
      </c>
      <c r="L405" s="189">
        <f t="shared" si="56"/>
        <v>2.0125000000000002</v>
      </c>
      <c r="M405" s="183"/>
      <c r="N405" s="183">
        <f t="shared" si="57"/>
        <v>1</v>
      </c>
      <c r="O405" s="183">
        <f t="shared" si="52"/>
        <v>1</v>
      </c>
      <c r="P405" s="88" t="s">
        <v>327</v>
      </c>
      <c r="Q405" s="91">
        <f t="shared" si="53"/>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4"/>
        <v>modesg_out_empr_info_nfincod_nace_esg</v>
      </c>
      <c r="B406" s="68" t="s">
        <v>26</v>
      </c>
      <c r="C406" s="69" t="s">
        <v>311</v>
      </c>
      <c r="D406" s="65" t="s">
        <v>40</v>
      </c>
      <c r="E406" s="67" t="s">
        <v>326</v>
      </c>
      <c r="F406" s="65" t="s">
        <v>282</v>
      </c>
      <c r="G406" s="65" t="str">
        <f>INDEX(Auxiliar!$B$16:$B$24,MATCH(Plano_V3!H406,Auxiliar!$C$16:$C$24,0),1)</f>
        <v>2.2 Em Re-especificação</v>
      </c>
      <c r="H406" s="65">
        <f>VLOOKUP(A406,'Aux - pivots1'!$A:$B,2,0)</f>
        <v>3</v>
      </c>
      <c r="I406" s="189">
        <f>SUMIFS(Table1[Estimação (horas)],Table1[Tabela],Plano_V3!E406,Table1[Campo],Plano_V3!F406)</f>
        <v>16.100000000000001</v>
      </c>
      <c r="J406" s="189">
        <f t="shared" si="55"/>
        <v>2.0125000000000002</v>
      </c>
      <c r="K406" s="189">
        <f>SUMIFS(Table1[Horas efetivas],Table1[Tabela],Plano_V3!E406,Table1[Campo],Plano_V3!F406)</f>
        <v>8.0500000000000007</v>
      </c>
      <c r="L406" s="189">
        <f t="shared" si="56"/>
        <v>1.0062500000000001</v>
      </c>
      <c r="M406" s="183"/>
      <c r="N406" s="183">
        <f t="shared" si="57"/>
        <v>0.5</v>
      </c>
      <c r="O406" s="183">
        <f t="shared" si="52"/>
        <v>0.5</v>
      </c>
      <c r="P406" s="88" t="s">
        <v>327</v>
      </c>
      <c r="Q406" s="91">
        <f t="shared" si="53"/>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4"/>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55"/>
        <v>1.0125</v>
      </c>
      <c r="K407" s="189">
        <f>SUMIFS(Table1[Horas efetivas],Table1[Tabela],Plano_V3!E407,Table1[Campo],Plano_V3!F407)</f>
        <v>4.05</v>
      </c>
      <c r="L407" s="189">
        <f t="shared" si="56"/>
        <v>0.50624999999999998</v>
      </c>
      <c r="M407" s="183"/>
      <c r="N407" s="183">
        <f t="shared" si="57"/>
        <v>0.5</v>
      </c>
      <c r="O407" s="183">
        <f t="shared" si="52"/>
        <v>0.5</v>
      </c>
      <c r="P407" s="88" t="s">
        <v>327</v>
      </c>
      <c r="Q407" s="91">
        <f t="shared" si="53"/>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4"/>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55"/>
        <v>1.0125</v>
      </c>
      <c r="K408" s="189">
        <f>SUMIFS(Table1[Horas efetivas],Table1[Tabela],Plano_V3!E408,Table1[Campo],Plano_V3!F408)</f>
        <v>4.05</v>
      </c>
      <c r="L408" s="189">
        <f t="shared" si="56"/>
        <v>0.50624999999999998</v>
      </c>
      <c r="M408" s="183"/>
      <c r="N408" s="183">
        <f t="shared" si="57"/>
        <v>0.5</v>
      </c>
      <c r="O408" s="183">
        <f t="shared" si="52"/>
        <v>0.5</v>
      </c>
      <c r="P408" s="88" t="s">
        <v>327</v>
      </c>
      <c r="Q408" s="91">
        <f t="shared" si="53"/>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4"/>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55"/>
        <v>2.0125000000000002</v>
      </c>
      <c r="K409" s="189">
        <f>SUMIFS(Table1[Horas efetivas],Table1[Tabela],Plano_V3!E409,Table1[Campo],Plano_V3!F409)</f>
        <v>16.100000000000001</v>
      </c>
      <c r="L409" s="189">
        <f t="shared" si="56"/>
        <v>2.0125000000000002</v>
      </c>
      <c r="M409" s="183"/>
      <c r="N409" s="183">
        <f t="shared" si="57"/>
        <v>1</v>
      </c>
      <c r="O409" s="183">
        <f t="shared" ref="O409:O456" si="58">N409-M409</f>
        <v>1</v>
      </c>
      <c r="P409" s="88" t="s">
        <v>327</v>
      </c>
      <c r="Q409" s="91">
        <f t="shared" si="53"/>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4"/>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5"/>
        <v>2.0125000000000002</v>
      </c>
      <c r="K410" s="189">
        <f>SUMIFS(Table1[Horas efetivas],Table1[Tabela],Plano_V3!E410,Table1[Campo],Plano_V3!F410)</f>
        <v>16.100000000000001</v>
      </c>
      <c r="L410" s="189">
        <f t="shared" si="56"/>
        <v>2.0125000000000002</v>
      </c>
      <c r="M410" s="183"/>
      <c r="N410" s="183">
        <f t="shared" si="57"/>
        <v>1</v>
      </c>
      <c r="O410" s="183">
        <f t="shared" si="58"/>
        <v>1</v>
      </c>
      <c r="P410" s="88" t="s">
        <v>327</v>
      </c>
      <c r="Q410" s="91">
        <f t="shared" si="53"/>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4"/>
        <v>modesg_out_empr_info_nfinorigem_alinhamentos</v>
      </c>
      <c r="B411" s="68" t="s">
        <v>26</v>
      </c>
      <c r="C411" s="69" t="s">
        <v>311</v>
      </c>
      <c r="D411" s="65" t="s">
        <v>40</v>
      </c>
      <c r="E411" s="67" t="s">
        <v>326</v>
      </c>
      <c r="F411" s="65" t="s">
        <v>329</v>
      </c>
      <c r="G411" s="65" t="str">
        <f>INDEX(Auxiliar!$B$16:$B$24,MATCH(Plano_V3!H411,Auxiliar!$C$16:$C$24,0),1)</f>
        <v>1. Concluído</v>
      </c>
      <c r="H411" s="65">
        <f>VLOOKUP(A411,'Aux - pivots1'!$A:$B,2,0)</f>
        <v>1</v>
      </c>
      <c r="I411" s="189">
        <f>SUMIFS(Table1[Estimação (horas)],Table1[Tabela],Plano_V3!E411,Table1[Campo],Plano_V3!F411)</f>
        <v>4.0999999999999996</v>
      </c>
      <c r="J411" s="189">
        <f t="shared" si="55"/>
        <v>0.51249999999999996</v>
      </c>
      <c r="K411" s="189">
        <f>SUMIFS(Table1[Horas efetivas],Table1[Tabela],Plano_V3!E411,Table1[Campo],Plano_V3!F411)</f>
        <v>4.0999999999999996</v>
      </c>
      <c r="L411" s="189">
        <f t="shared" si="56"/>
        <v>0.51249999999999996</v>
      </c>
      <c r="M411" s="183"/>
      <c r="N411" s="183">
        <f t="shared" si="57"/>
        <v>1</v>
      </c>
      <c r="O411" s="183">
        <f t="shared" si="58"/>
        <v>1</v>
      </c>
      <c r="P411" s="88" t="s">
        <v>327</v>
      </c>
      <c r="Q411" s="91">
        <f t="shared" si="53"/>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4"/>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55"/>
        <v>0.51249999999999996</v>
      </c>
      <c r="K412" s="189">
        <f>SUMIFS(Table1[Horas efetivas],Table1[Tabela],Plano_V3!E412,Table1[Campo],Plano_V3!F412)</f>
        <v>2.0499999999999998</v>
      </c>
      <c r="L412" s="189">
        <f t="shared" si="56"/>
        <v>0.25624999999999998</v>
      </c>
      <c r="M412" s="183"/>
      <c r="N412" s="183">
        <f t="shared" si="57"/>
        <v>0.5</v>
      </c>
      <c r="O412" s="183">
        <f t="shared" si="58"/>
        <v>0.5</v>
      </c>
      <c r="P412" s="88" t="s">
        <v>327</v>
      </c>
      <c r="Q412" s="91">
        <f t="shared" si="53"/>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4"/>
        <v>modesg_out_empr_info_nfinorigem_flg_nfrd</v>
      </c>
      <c r="B413" s="68" t="s">
        <v>26</v>
      </c>
      <c r="C413" s="69" t="s">
        <v>311</v>
      </c>
      <c r="D413" s="65" t="s">
        <v>40</v>
      </c>
      <c r="E413" s="67" t="s">
        <v>326</v>
      </c>
      <c r="F413" s="65" t="s">
        <v>331</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5"/>
        <v>0.51249999999999996</v>
      </c>
      <c r="K413" s="189">
        <f>SUMIFS(Table1[Horas efetivas],Table1[Tabela],Plano_V3!E413,Table1[Campo],Plano_V3!F413)</f>
        <v>4.0999999999999996</v>
      </c>
      <c r="L413" s="189">
        <f t="shared" si="56"/>
        <v>0.51249999999999996</v>
      </c>
      <c r="M413" s="183"/>
      <c r="N413" s="183">
        <f t="shared" si="57"/>
        <v>1</v>
      </c>
      <c r="O413" s="183">
        <f t="shared" si="58"/>
        <v>1</v>
      </c>
      <c r="P413" s="88" t="s">
        <v>327</v>
      </c>
      <c r="Q413" s="91">
        <f t="shared" si="53"/>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4"/>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5"/>
        <v>0.51249999999999996</v>
      </c>
      <c r="K414" s="189">
        <f>SUMIFS(Table1[Horas efetivas],Table1[Tabela],Plano_V3!E414,Table1[Campo],Plano_V3!F414)</f>
        <v>4.0999999999999996</v>
      </c>
      <c r="L414" s="189">
        <f t="shared" si="56"/>
        <v>0.51249999999999996</v>
      </c>
      <c r="M414" s="183"/>
      <c r="N414" s="183">
        <f t="shared" si="57"/>
        <v>1</v>
      </c>
      <c r="O414" s="183">
        <f t="shared" si="58"/>
        <v>1</v>
      </c>
      <c r="P414" s="88" t="s">
        <v>327</v>
      </c>
      <c r="Q414" s="91">
        <f t="shared" si="53"/>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4"/>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5"/>
        <v>0.51249999999999996</v>
      </c>
      <c r="K415" s="189">
        <f>SUMIFS(Table1[Horas efetivas],Table1[Tabela],Plano_V3!E415,Table1[Campo],Plano_V3!F415)</f>
        <v>4.0999999999999996</v>
      </c>
      <c r="L415" s="189">
        <f t="shared" si="56"/>
        <v>0.51249999999999996</v>
      </c>
      <c r="M415" s="183"/>
      <c r="N415" s="183">
        <f t="shared" si="57"/>
        <v>1</v>
      </c>
      <c r="O415" s="183">
        <f t="shared" si="58"/>
        <v>1</v>
      </c>
      <c r="P415" s="88" t="s">
        <v>327</v>
      </c>
      <c r="Q415" s="91">
        <f t="shared" si="53"/>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4"/>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89">
        <f>SUMIFS(Table1[Estimação (horas)],Table1[Tabela],Plano_V3!E416,Table1[Campo],Plano_V3!F416)</f>
        <v>4.0999999999999996</v>
      </c>
      <c r="J416" s="189">
        <f t="shared" si="55"/>
        <v>0.51249999999999996</v>
      </c>
      <c r="K416" s="189">
        <f>SUMIFS(Table1[Horas efetivas],Table1[Tabela],Plano_V3!E416,Table1[Campo],Plano_V3!F416)</f>
        <v>1.0249999999999999</v>
      </c>
      <c r="L416" s="189">
        <f t="shared" si="56"/>
        <v>0.12812499999999999</v>
      </c>
      <c r="M416" s="183"/>
      <c r="N416" s="183">
        <f t="shared" si="57"/>
        <v>0.25</v>
      </c>
      <c r="O416" s="183">
        <f t="shared" si="58"/>
        <v>0.25</v>
      </c>
      <c r="P416" s="88" t="s">
        <v>327</v>
      </c>
      <c r="Q416" s="91">
        <f t="shared" si="53"/>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4"/>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5"/>
        <v>0.51249999999999996</v>
      </c>
      <c r="K417" s="189">
        <f>SUMIFS(Table1[Horas efetivas],Table1[Tabela],Plano_V3!E417,Table1[Campo],Plano_V3!F417)</f>
        <v>1.0249999999999999</v>
      </c>
      <c r="L417" s="189">
        <f t="shared" si="56"/>
        <v>0.12812499999999999</v>
      </c>
      <c r="M417" s="183"/>
      <c r="N417" s="183">
        <f t="shared" si="57"/>
        <v>0.25</v>
      </c>
      <c r="O417" s="183">
        <f t="shared" si="58"/>
        <v>0.25</v>
      </c>
      <c r="P417" s="88" t="s">
        <v>327</v>
      </c>
      <c r="Q417" s="91">
        <f t="shared" si="53"/>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4"/>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5"/>
        <v>0.51249999999999996</v>
      </c>
      <c r="K418" s="189">
        <f>SUMIFS(Table1[Horas efetivas],Table1[Tabela],Plano_V3!E418,Table1[Campo],Plano_V3!F418)</f>
        <v>1.0249999999999999</v>
      </c>
      <c r="L418" s="189">
        <f t="shared" si="56"/>
        <v>0.12812499999999999</v>
      </c>
      <c r="M418" s="183"/>
      <c r="N418" s="183">
        <f t="shared" si="57"/>
        <v>0.25</v>
      </c>
      <c r="O418" s="183">
        <f t="shared" si="58"/>
        <v>0.25</v>
      </c>
      <c r="P418" s="88" t="s">
        <v>327</v>
      </c>
      <c r="Q418" s="91">
        <f t="shared" si="53"/>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4"/>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55"/>
        <v>0.51249999999999996</v>
      </c>
      <c r="K419" s="189">
        <f>SUMIFS(Table1[Horas efetivas],Table1[Tabela],Plano_V3!E419,Table1[Campo],Plano_V3!F419)</f>
        <v>4.0999999999999996</v>
      </c>
      <c r="L419" s="189">
        <f t="shared" si="56"/>
        <v>0.51249999999999996</v>
      </c>
      <c r="M419" s="183"/>
      <c r="N419" s="183">
        <f t="shared" si="57"/>
        <v>1</v>
      </c>
      <c r="O419" s="183">
        <f t="shared" si="58"/>
        <v>1</v>
      </c>
      <c r="P419" s="88" t="s">
        <v>327</v>
      </c>
      <c r="Q419" s="91">
        <f t="shared" si="53"/>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4"/>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89">
        <f>SUMIFS(Table1[Estimação (horas)],Table1[Tabela],Plano_V3!E420,Table1[Campo],Plano_V3!F420)</f>
        <v>8.1</v>
      </c>
      <c r="J420" s="189">
        <f t="shared" si="55"/>
        <v>1.0125</v>
      </c>
      <c r="K420" s="189">
        <f>SUMIFS(Table1[Horas efetivas],Table1[Tabela],Plano_V3!E420,Table1[Campo],Plano_V3!F420)</f>
        <v>2.0249999999999999</v>
      </c>
      <c r="L420" s="189">
        <f t="shared" si="56"/>
        <v>0.25312499999999999</v>
      </c>
      <c r="M420" s="183"/>
      <c r="N420" s="183">
        <f t="shared" si="57"/>
        <v>0.25</v>
      </c>
      <c r="O420" s="183">
        <f t="shared" si="58"/>
        <v>0.25</v>
      </c>
      <c r="P420" s="88" t="s">
        <v>327</v>
      </c>
      <c r="Q420" s="91">
        <f t="shared" ref="Q420:Q456" si="59">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4"/>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5"/>
        <v>1.0125</v>
      </c>
      <c r="K421" s="189">
        <f>SUMIFS(Table1[Horas efetivas],Table1[Tabela],Plano_V3!E421,Table1[Campo],Plano_V3!F421)</f>
        <v>2.0249999999999999</v>
      </c>
      <c r="L421" s="189">
        <f t="shared" si="56"/>
        <v>0.25312499999999999</v>
      </c>
      <c r="M421" s="183"/>
      <c r="N421" s="183">
        <f t="shared" si="57"/>
        <v>0.25</v>
      </c>
      <c r="O421" s="183">
        <f t="shared" si="58"/>
        <v>0.25</v>
      </c>
      <c r="P421" s="88" t="s">
        <v>327</v>
      </c>
      <c r="Q421" s="91">
        <f t="shared" si="59"/>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0">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5"/>
        <v>1.0125</v>
      </c>
      <c r="K422" s="189">
        <f>SUMIFS(Table1[Horas efetivas],Table1[Tabela],Plano_V3!E422,Table1[Campo],Plano_V3!F422)</f>
        <v>2.0249999999999999</v>
      </c>
      <c r="L422" s="189">
        <f t="shared" si="56"/>
        <v>0.25312499999999999</v>
      </c>
      <c r="M422" s="183"/>
      <c r="N422" s="183">
        <f t="shared" si="57"/>
        <v>0.25</v>
      </c>
      <c r="O422" s="183">
        <f t="shared" si="58"/>
        <v>0.25</v>
      </c>
      <c r="P422" s="88" t="s">
        <v>327</v>
      </c>
      <c r="Q422" s="91">
        <f t="shared" si="59"/>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0"/>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55"/>
        <v>0.51249999999999996</v>
      </c>
      <c r="K423" s="189">
        <f>SUMIFS(Table1[Horas efetivas],Table1[Tabela],Plano_V3!E423,Table1[Campo],Plano_V3!F423)</f>
        <v>4.0999999999999996</v>
      </c>
      <c r="L423" s="189">
        <f t="shared" si="56"/>
        <v>0.51249999999999996</v>
      </c>
      <c r="M423" s="183"/>
      <c r="N423" s="183">
        <f t="shared" si="57"/>
        <v>1</v>
      </c>
      <c r="O423" s="183">
        <f t="shared" si="58"/>
        <v>1</v>
      </c>
      <c r="P423" s="88" t="s">
        <v>327</v>
      </c>
      <c r="Q423" s="91">
        <f t="shared" si="59"/>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0"/>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55"/>
        <v>1</v>
      </c>
      <c r="K424" s="189">
        <f>SUMIFS(Table1[Horas efetivas],Table1[Tabela],Plano_V3!E424,Table1[Campo],Plano_V3!F424)</f>
        <v>8</v>
      </c>
      <c r="L424" s="189">
        <f t="shared" si="56"/>
        <v>1</v>
      </c>
      <c r="M424" s="183"/>
      <c r="N424" s="183">
        <f t="shared" si="57"/>
        <v>1</v>
      </c>
      <c r="O424" s="183">
        <f t="shared" si="58"/>
        <v>1</v>
      </c>
      <c r="P424" s="88" t="s">
        <v>333</v>
      </c>
      <c r="Q424" s="91">
        <f t="shared" si="59"/>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0"/>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55"/>
        <v>0.51249999999999996</v>
      </c>
      <c r="K425" s="189">
        <f>SUMIFS(Table1[Horas efetivas],Table1[Tabela],Plano_V3!E425,Table1[Campo],Plano_V3!F425)</f>
        <v>4.0999999999999996</v>
      </c>
      <c r="L425" s="189">
        <f t="shared" si="56"/>
        <v>0.51249999999999996</v>
      </c>
      <c r="M425" s="183"/>
      <c r="N425" s="183">
        <f t="shared" si="57"/>
        <v>1</v>
      </c>
      <c r="O425" s="183">
        <f t="shared" si="58"/>
        <v>1</v>
      </c>
      <c r="P425" s="88" t="s">
        <v>333</v>
      </c>
      <c r="Q425" s="91">
        <f t="shared" si="59"/>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0"/>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5"/>
        <v>0.51249999999999996</v>
      </c>
      <c r="K426" s="189">
        <f>SUMIFS(Table1[Horas efetivas],Table1[Tabela],Plano_V3!E426,Table1[Campo],Plano_V3!F426)</f>
        <v>4.0999999999999996</v>
      </c>
      <c r="L426" s="189">
        <f t="shared" si="56"/>
        <v>0.51249999999999996</v>
      </c>
      <c r="M426" s="183"/>
      <c r="N426" s="183">
        <f t="shared" si="57"/>
        <v>1</v>
      </c>
      <c r="O426" s="183">
        <f t="shared" si="58"/>
        <v>1</v>
      </c>
      <c r="P426" s="88" t="s">
        <v>333</v>
      </c>
      <c r="Q426" s="91">
        <f t="shared" si="59"/>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0"/>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5"/>
        <v>0.51249999999999996</v>
      </c>
      <c r="K427" s="189">
        <f>SUMIFS(Table1[Horas efetivas],Table1[Tabela],Plano_V3!E427,Table1[Campo],Plano_V3!F427)</f>
        <v>4.0999999999999996</v>
      </c>
      <c r="L427" s="189">
        <f t="shared" si="56"/>
        <v>0.51249999999999996</v>
      </c>
      <c r="M427" s="183"/>
      <c r="N427" s="183">
        <f t="shared" si="57"/>
        <v>1</v>
      </c>
      <c r="O427" s="183">
        <f t="shared" si="58"/>
        <v>1</v>
      </c>
      <c r="P427" s="88" t="s">
        <v>333</v>
      </c>
      <c r="Q427" s="91">
        <f t="shared" si="59"/>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0"/>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5"/>
        <v>0.51249999999999996</v>
      </c>
      <c r="K428" s="189">
        <f>SUMIFS(Table1[Horas efetivas],Table1[Tabela],Plano_V3!E428,Table1[Campo],Plano_V3!F428)</f>
        <v>4.0999999999999996</v>
      </c>
      <c r="L428" s="189">
        <f t="shared" si="56"/>
        <v>0.51249999999999996</v>
      </c>
      <c r="M428" s="183"/>
      <c r="N428" s="183">
        <f t="shared" si="57"/>
        <v>1</v>
      </c>
      <c r="O428" s="183">
        <f t="shared" si="58"/>
        <v>1</v>
      </c>
      <c r="P428" s="88" t="s">
        <v>333</v>
      </c>
      <c r="Q428" s="91">
        <f t="shared" si="59"/>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0"/>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55"/>
        <v>1.0125</v>
      </c>
      <c r="K429" s="189">
        <f>SUMIFS(Table1[Horas efetivas],Table1[Tabela],Plano_V3!E429,Table1[Campo],Plano_V3!F429)</f>
        <v>8.1</v>
      </c>
      <c r="L429" s="189">
        <f t="shared" si="56"/>
        <v>1.0125</v>
      </c>
      <c r="M429" s="183"/>
      <c r="N429" s="183">
        <f t="shared" si="57"/>
        <v>1</v>
      </c>
      <c r="O429" s="183">
        <f t="shared" si="58"/>
        <v>1</v>
      </c>
      <c r="P429" s="88" t="s">
        <v>333</v>
      </c>
      <c r="Q429" s="91">
        <f t="shared" si="59"/>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0"/>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55"/>
        <v>1.0125</v>
      </c>
      <c r="K430" s="189">
        <f>SUMIFS(Table1[Horas efetivas],Table1[Tabela],Plano_V3!E430,Table1[Campo],Plano_V3!F430)</f>
        <v>8.1</v>
      </c>
      <c r="L430" s="189">
        <f t="shared" si="56"/>
        <v>1.0125</v>
      </c>
      <c r="M430" s="183"/>
      <c r="N430" s="183">
        <f t="shared" si="57"/>
        <v>1</v>
      </c>
      <c r="O430" s="183">
        <f t="shared" si="58"/>
        <v>1</v>
      </c>
      <c r="P430" s="88" t="s">
        <v>333</v>
      </c>
      <c r="Q430" s="91">
        <f t="shared" si="59"/>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0"/>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55"/>
        <v>1.0125</v>
      </c>
      <c r="K431" s="189">
        <f>SUMIFS(Table1[Horas efetivas],Table1[Tabela],Plano_V3!E431,Table1[Campo],Plano_V3!F431)</f>
        <v>8.1</v>
      </c>
      <c r="L431" s="189">
        <f t="shared" si="56"/>
        <v>1.0125</v>
      </c>
      <c r="M431" s="183"/>
      <c r="N431" s="183">
        <f t="shared" si="57"/>
        <v>1</v>
      </c>
      <c r="O431" s="183">
        <f t="shared" si="58"/>
        <v>1</v>
      </c>
      <c r="P431" s="88" t="s">
        <v>333</v>
      </c>
      <c r="Q431" s="91">
        <f t="shared" si="59"/>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0"/>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55"/>
        <v>1.0125</v>
      </c>
      <c r="K432" s="189">
        <f>SUMIFS(Table1[Horas efetivas],Table1[Tabela],Plano_V3!E432,Table1[Campo],Plano_V3!F432)</f>
        <v>8.1</v>
      </c>
      <c r="L432" s="189">
        <f t="shared" si="56"/>
        <v>1.0125</v>
      </c>
      <c r="M432" s="183"/>
      <c r="N432" s="183">
        <f t="shared" si="57"/>
        <v>1</v>
      </c>
      <c r="O432" s="183">
        <f t="shared" si="58"/>
        <v>1</v>
      </c>
      <c r="P432" s="88" t="s">
        <v>333</v>
      </c>
      <c r="Q432" s="91">
        <f t="shared" si="59"/>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0"/>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55"/>
        <v>0.51249999999999996</v>
      </c>
      <c r="K433" s="189">
        <f>SUMIFS(Table1[Horas efetivas],Table1[Tabela],Plano_V3!E433,Table1[Campo],Plano_V3!F433)</f>
        <v>4.0999999999999996</v>
      </c>
      <c r="L433" s="189">
        <f t="shared" si="56"/>
        <v>0.51249999999999996</v>
      </c>
      <c r="M433" s="183"/>
      <c r="N433" s="183">
        <f t="shared" si="57"/>
        <v>1</v>
      </c>
      <c r="O433" s="183">
        <f t="shared" si="58"/>
        <v>1</v>
      </c>
      <c r="P433" s="88" t="s">
        <v>333</v>
      </c>
      <c r="Q433" s="91">
        <f t="shared" si="59"/>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0"/>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55"/>
        <v>2.0125000000000002</v>
      </c>
      <c r="K434" s="189">
        <f>SUMIFS(Table1[Horas efetivas],Table1[Tabela],Plano_V3!E434,Table1[Campo],Plano_V3!F434)</f>
        <v>16.100000000000001</v>
      </c>
      <c r="L434" s="189">
        <f t="shared" si="56"/>
        <v>2.0125000000000002</v>
      </c>
      <c r="M434" s="183"/>
      <c r="N434" s="183">
        <f t="shared" si="57"/>
        <v>1</v>
      </c>
      <c r="O434" s="183">
        <f t="shared" si="58"/>
        <v>1</v>
      </c>
      <c r="P434" s="88" t="s">
        <v>333</v>
      </c>
      <c r="Q434" s="91">
        <f t="shared" si="59"/>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0"/>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5"/>
        <v>2.0125000000000002</v>
      </c>
      <c r="K435" s="189">
        <f>SUMIFS(Table1[Horas efetivas],Table1[Tabela],Plano_V3!E435,Table1[Campo],Plano_V3!F435)</f>
        <v>16.100000000000001</v>
      </c>
      <c r="L435" s="189">
        <f t="shared" si="56"/>
        <v>2.0125000000000002</v>
      </c>
      <c r="M435" s="183"/>
      <c r="N435" s="183">
        <f t="shared" si="57"/>
        <v>1</v>
      </c>
      <c r="O435" s="183">
        <f t="shared" si="58"/>
        <v>1</v>
      </c>
      <c r="P435" s="88" t="s">
        <v>333</v>
      </c>
      <c r="Q435" s="91">
        <f t="shared" si="59"/>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0"/>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61">I436/8</f>
        <v>2.0125000000000002</v>
      </c>
      <c r="K436" s="189">
        <f>SUMIFS(Table1[Horas efetivas],Table1[Tabela],Plano_V3!E436,Table1[Campo],Plano_V3!F436)</f>
        <v>16.100000000000001</v>
      </c>
      <c r="L436" s="189">
        <f t="shared" ref="L436:L454" si="62">K436/8</f>
        <v>2.0125000000000002</v>
      </c>
      <c r="M436" s="183"/>
      <c r="N436" s="183">
        <f t="shared" ref="N436:N455" si="63">L436/J436</f>
        <v>1</v>
      </c>
      <c r="O436" s="183">
        <f t="shared" si="58"/>
        <v>1</v>
      </c>
      <c r="P436" s="88" t="s">
        <v>333</v>
      </c>
      <c r="Q436" s="91">
        <f t="shared" si="59"/>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0"/>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61"/>
        <v>0.51249999999999996</v>
      </c>
      <c r="K437" s="189">
        <f>SUMIFS(Table1[Horas efetivas],Table1[Tabela],Plano_V3!E437,Table1[Campo],Plano_V3!F437)</f>
        <v>4.0999999999999996</v>
      </c>
      <c r="L437" s="189">
        <f t="shared" si="62"/>
        <v>0.51249999999999996</v>
      </c>
      <c r="M437" s="183"/>
      <c r="N437" s="183">
        <f t="shared" si="63"/>
        <v>1</v>
      </c>
      <c r="O437" s="183">
        <f t="shared" si="58"/>
        <v>1</v>
      </c>
      <c r="P437" s="88" t="s">
        <v>333</v>
      </c>
      <c r="Q437" s="91">
        <f t="shared" si="59"/>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0"/>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1"/>
        <v>0.51249999999999996</v>
      </c>
      <c r="K438" s="189">
        <f>SUMIFS(Table1[Horas efetivas],Table1[Tabela],Plano_V3!E438,Table1[Campo],Plano_V3!F438)</f>
        <v>4.0999999999999996</v>
      </c>
      <c r="L438" s="189">
        <f t="shared" si="62"/>
        <v>0.51249999999999996</v>
      </c>
      <c r="M438" s="183"/>
      <c r="N438" s="183">
        <f t="shared" si="63"/>
        <v>1</v>
      </c>
      <c r="O438" s="183">
        <f t="shared" si="58"/>
        <v>1</v>
      </c>
      <c r="P438" s="88" t="s">
        <v>333</v>
      </c>
      <c r="Q438" s="91">
        <f t="shared" si="59"/>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0"/>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1"/>
        <v>0.51249999999999996</v>
      </c>
      <c r="K439" s="189">
        <f>SUMIFS(Table1[Horas efetivas],Table1[Tabela],Plano_V3!E439,Table1[Campo],Plano_V3!F439)</f>
        <v>4.0999999999999996</v>
      </c>
      <c r="L439" s="189">
        <f t="shared" si="62"/>
        <v>0.51249999999999996</v>
      </c>
      <c r="M439" s="183"/>
      <c r="N439" s="183">
        <f t="shared" si="63"/>
        <v>1</v>
      </c>
      <c r="O439" s="183">
        <f t="shared" si="58"/>
        <v>1</v>
      </c>
      <c r="P439" s="88" t="s">
        <v>333</v>
      </c>
      <c r="Q439" s="91">
        <f t="shared" si="59"/>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0"/>
        <v>modesg_out_sfcs_taxon_europeian.a.</v>
      </c>
      <c r="B440" s="68" t="s">
        <v>26</v>
      </c>
      <c r="C440" s="69" t="s">
        <v>311</v>
      </c>
      <c r="D440" s="65" t="s">
        <v>36</v>
      </c>
      <c r="E440" s="67" t="s">
        <v>334</v>
      </c>
      <c r="F440" s="65" t="s">
        <v>38</v>
      </c>
      <c r="G440" s="65" t="str">
        <f>INDEX(Auxiliar!$B$16:$B$24,MATCH(Plano_V3!H440,Auxiliar!$C$16:$C$24,0),1)</f>
        <v>2.2 Em Re-especificação</v>
      </c>
      <c r="H440" s="65">
        <f>VLOOKUP(A440,'Aux - pivots1'!$A:$B,2,0)</f>
        <v>3</v>
      </c>
      <c r="I440" s="189">
        <f>SUMIFS(Table1[Estimação (horas)],Table1[Tabela],Plano_V3!E440,Table1[Campo],Plano_V3!F440)</f>
        <v>8</v>
      </c>
      <c r="J440" s="189">
        <f t="shared" si="61"/>
        <v>1</v>
      </c>
      <c r="K440" s="189">
        <f>SUMIFS(Table1[Horas efetivas],Table1[Tabela],Plano_V3!E440,Table1[Campo],Plano_V3!F440)</f>
        <v>4</v>
      </c>
      <c r="L440" s="189">
        <f t="shared" si="62"/>
        <v>0.5</v>
      </c>
      <c r="M440" s="183"/>
      <c r="N440" s="183">
        <f t="shared" si="63"/>
        <v>0.5</v>
      </c>
      <c r="O440" s="183">
        <f t="shared" si="58"/>
        <v>0.5</v>
      </c>
      <c r="P440" s="88" t="s">
        <v>335</v>
      </c>
      <c r="Q440" s="91">
        <f t="shared" si="59"/>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0"/>
        <v>modesg_out_sfcs_taxon_europeiacbalcao</v>
      </c>
      <c r="B441" s="68" t="s">
        <v>26</v>
      </c>
      <c r="C441" s="69" t="s">
        <v>311</v>
      </c>
      <c r="D441" s="65" t="s">
        <v>40</v>
      </c>
      <c r="E441" s="67" t="s">
        <v>334</v>
      </c>
      <c r="F441" s="65" t="s">
        <v>183</v>
      </c>
      <c r="G441" s="65" t="str">
        <f>INDEX(Auxiliar!$B$16:$B$24,MATCH(Plano_V3!H441,Auxiliar!$C$16:$C$24,0),1)</f>
        <v>2.2 Em Re-especificação</v>
      </c>
      <c r="H441" s="65">
        <f>VLOOKUP(A441,'Aux - pivots1'!$A:$B,2,0)</f>
        <v>3</v>
      </c>
      <c r="I441" s="189">
        <f>SUMIFS(Table1[Estimação (horas)],Table1[Tabela],Plano_V3!E441,Table1[Campo],Plano_V3!F441)</f>
        <v>4.0999999999999996</v>
      </c>
      <c r="J441" s="189">
        <f t="shared" si="61"/>
        <v>0.51249999999999996</v>
      </c>
      <c r="K441" s="189">
        <f>SUMIFS(Table1[Horas efetivas],Table1[Tabela],Plano_V3!E441,Table1[Campo],Plano_V3!F441)</f>
        <v>2.0499999999999998</v>
      </c>
      <c r="L441" s="189">
        <f t="shared" si="62"/>
        <v>0.25624999999999998</v>
      </c>
      <c r="M441" s="183"/>
      <c r="N441" s="183">
        <f t="shared" si="63"/>
        <v>0.5</v>
      </c>
      <c r="O441" s="183">
        <f t="shared" si="58"/>
        <v>0.5</v>
      </c>
      <c r="P441" s="88" t="s">
        <v>335</v>
      </c>
      <c r="Q441" s="91">
        <f t="shared" si="59"/>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0"/>
        <v>modesg_out_sfcs_taxon_europeiacempresa</v>
      </c>
      <c r="B442" s="68" t="s">
        <v>26</v>
      </c>
      <c r="C442" s="69" t="s">
        <v>311</v>
      </c>
      <c r="D442" s="65" t="s">
        <v>40</v>
      </c>
      <c r="E442" s="67" t="s">
        <v>334</v>
      </c>
      <c r="F442" s="65" t="s">
        <v>184</v>
      </c>
      <c r="G442" s="65" t="str">
        <f>INDEX(Auxiliar!$B$16:$B$24,MATCH(Plano_V3!H442,Auxiliar!$C$16:$C$24,0),1)</f>
        <v>2.2 Em Re-especificação</v>
      </c>
      <c r="H442" s="65">
        <f>VLOOKUP(A442,'Aux - pivots1'!$A:$B,2,0)</f>
        <v>3</v>
      </c>
      <c r="I442" s="189">
        <f>SUMIFS(Table1[Estimação (horas)],Table1[Tabela],Plano_V3!E442,Table1[Campo],Plano_V3!F442)</f>
        <v>4.0999999999999996</v>
      </c>
      <c r="J442" s="189">
        <f t="shared" si="61"/>
        <v>0.51249999999999996</v>
      </c>
      <c r="K442" s="189">
        <f>SUMIFS(Table1[Horas efetivas],Table1[Tabela],Plano_V3!E442,Table1[Campo],Plano_V3!F442)</f>
        <v>2.0499999999999998</v>
      </c>
      <c r="L442" s="189">
        <f t="shared" si="62"/>
        <v>0.25624999999999998</v>
      </c>
      <c r="M442" s="183"/>
      <c r="N442" s="183">
        <f t="shared" si="63"/>
        <v>0.5</v>
      </c>
      <c r="O442" s="183">
        <f t="shared" si="58"/>
        <v>0.5</v>
      </c>
      <c r="P442" s="88" t="s">
        <v>335</v>
      </c>
      <c r="Q442" s="91">
        <f t="shared" si="59"/>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0"/>
        <v>modesg_out_sfcs_taxon_europeiacnumecta</v>
      </c>
      <c r="B443" s="68" t="s">
        <v>26</v>
      </c>
      <c r="C443" s="69" t="s">
        <v>311</v>
      </c>
      <c r="D443" s="65" t="s">
        <v>40</v>
      </c>
      <c r="E443" s="67" t="s">
        <v>334</v>
      </c>
      <c r="F443" s="65" t="s">
        <v>189</v>
      </c>
      <c r="G443" s="65" t="str">
        <f>INDEX(Auxiliar!$B$16:$B$24,MATCH(Plano_V3!H443,Auxiliar!$C$16:$C$24,0),1)</f>
        <v>2.2 Em Re-especificação</v>
      </c>
      <c r="H443" s="65">
        <f>VLOOKUP(A443,'Aux - pivots1'!$A:$B,2,0)</f>
        <v>3</v>
      </c>
      <c r="I443" s="189">
        <f>SUMIFS(Table1[Estimação (horas)],Table1[Tabela],Plano_V3!E443,Table1[Campo],Plano_V3!F443)</f>
        <v>4.0999999999999996</v>
      </c>
      <c r="J443" s="189">
        <f t="shared" si="61"/>
        <v>0.51249999999999996</v>
      </c>
      <c r="K443" s="189">
        <f>SUMIFS(Table1[Horas efetivas],Table1[Tabela],Plano_V3!E443,Table1[Campo],Plano_V3!F443)</f>
        <v>2.0499999999999998</v>
      </c>
      <c r="L443" s="189">
        <f t="shared" si="62"/>
        <v>0.25624999999999998</v>
      </c>
      <c r="M443" s="183"/>
      <c r="N443" s="183">
        <f t="shared" si="63"/>
        <v>0.5</v>
      </c>
      <c r="O443" s="183">
        <f t="shared" si="58"/>
        <v>0.5</v>
      </c>
      <c r="P443" s="88" t="s">
        <v>335</v>
      </c>
      <c r="Q443" s="91">
        <f t="shared" si="59"/>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0"/>
        <v>modesg_out_sfcs_taxon_europeiacod_regra</v>
      </c>
      <c r="B444" s="68" t="s">
        <v>26</v>
      </c>
      <c r="C444" s="69" t="s">
        <v>311</v>
      </c>
      <c r="D444" s="65" t="s">
        <v>40</v>
      </c>
      <c r="E444" s="67" t="s">
        <v>334</v>
      </c>
      <c r="F444" s="65" t="s">
        <v>191</v>
      </c>
      <c r="G444" s="65" t="str">
        <f>INDEX(Auxiliar!$B$16:$B$24,MATCH(Plano_V3!H444,Auxiliar!$C$16:$C$24,0),1)</f>
        <v>2.2 Em Re-especificação</v>
      </c>
      <c r="H444" s="65">
        <f>VLOOKUP(A444,'Aux - pivots1'!$A:$B,2,0)</f>
        <v>3</v>
      </c>
      <c r="I444" s="189">
        <f>SUMIFS(Table1[Estimação (horas)],Table1[Tabela],Plano_V3!E444,Table1[Campo],Plano_V3!F444)</f>
        <v>4.0999999999999996</v>
      </c>
      <c r="J444" s="189">
        <f t="shared" si="61"/>
        <v>0.51249999999999996</v>
      </c>
      <c r="K444" s="189">
        <f>SUMIFS(Table1[Horas efetivas],Table1[Tabela],Plano_V3!E444,Table1[Campo],Plano_V3!F444)</f>
        <v>2.0499999999999998</v>
      </c>
      <c r="L444" s="189">
        <f t="shared" si="62"/>
        <v>0.25624999999999998</v>
      </c>
      <c r="M444" s="183"/>
      <c r="N444" s="183">
        <f t="shared" si="63"/>
        <v>0.5</v>
      </c>
      <c r="O444" s="183">
        <f t="shared" si="58"/>
        <v>0.5</v>
      </c>
      <c r="P444" s="88" t="s">
        <v>335</v>
      </c>
      <c r="Q444" s="91">
        <f t="shared" si="59"/>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0"/>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61"/>
        <v>0.51249999999999996</v>
      </c>
      <c r="K445" s="189">
        <f>SUMIFS(Table1[Horas efetivas],Table1[Tabela],Plano_V3!E445,Table1[Campo],Plano_V3!F445)</f>
        <v>0</v>
      </c>
      <c r="L445" s="189">
        <f t="shared" si="62"/>
        <v>0</v>
      </c>
      <c r="M445" s="183"/>
      <c r="N445" s="183">
        <f t="shared" si="63"/>
        <v>0</v>
      </c>
      <c r="O445" s="183">
        <f t="shared" si="58"/>
        <v>0</v>
      </c>
      <c r="P445" s="88" t="s">
        <v>335</v>
      </c>
      <c r="Q445" s="91">
        <f t="shared" si="59"/>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0"/>
        <v>modesg_out_sfcs_taxon_europeiamontante_pndrc</v>
      </c>
      <c r="B446" s="68" t="s">
        <v>26</v>
      </c>
      <c r="C446" s="69" t="s">
        <v>311</v>
      </c>
      <c r="D446" s="65" t="s">
        <v>40</v>
      </c>
      <c r="E446" s="67" t="s">
        <v>334</v>
      </c>
      <c r="F446" s="65" t="s">
        <v>202</v>
      </c>
      <c r="G446" s="65" t="str">
        <f>INDEX(Auxiliar!$B$16:$B$24,MATCH(Plano_V3!H446,Auxiliar!$C$16:$C$24,0),1)</f>
        <v>2.2 Em Re-especificação</v>
      </c>
      <c r="H446" s="65">
        <f>VLOOKUP(A446,'Aux - pivots1'!$A:$B,2,0)</f>
        <v>3</v>
      </c>
      <c r="I446" s="189">
        <f>SUMIFS(Table1[Estimação (horas)],Table1[Tabela],Plano_V3!E446,Table1[Campo],Plano_V3!F446)</f>
        <v>16.100000000000001</v>
      </c>
      <c r="J446" s="189">
        <f t="shared" si="61"/>
        <v>2.0125000000000002</v>
      </c>
      <c r="K446" s="189">
        <f>SUMIFS(Table1[Horas efetivas],Table1[Tabela],Plano_V3!E446,Table1[Campo],Plano_V3!F446)</f>
        <v>8.0500000000000007</v>
      </c>
      <c r="L446" s="189">
        <f t="shared" si="62"/>
        <v>1.0062500000000001</v>
      </c>
      <c r="M446" s="183"/>
      <c r="N446" s="183">
        <f t="shared" si="63"/>
        <v>0.5</v>
      </c>
      <c r="O446" s="183">
        <f t="shared" si="58"/>
        <v>0.5</v>
      </c>
      <c r="P446" s="88" t="s">
        <v>335</v>
      </c>
      <c r="Q446" s="91">
        <f t="shared" si="59"/>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0"/>
        <v>modesg_out_sfcs_taxon_europeianome_ctgr_sfcs</v>
      </c>
      <c r="B447" s="68" t="s">
        <v>26</v>
      </c>
      <c r="C447" s="69" t="s">
        <v>311</v>
      </c>
      <c r="D447" s="65" t="s">
        <v>40</v>
      </c>
      <c r="E447" s="67" t="s">
        <v>334</v>
      </c>
      <c r="F447" s="65" t="s">
        <v>203</v>
      </c>
      <c r="G447" s="65" t="str">
        <f>INDEX(Auxiliar!$B$16:$B$24,MATCH(Plano_V3!H447,Auxiliar!$C$16:$C$24,0),1)</f>
        <v>2.2 Em Re-especificação</v>
      </c>
      <c r="H447" s="65">
        <f>VLOOKUP(A447,'Aux - pivots1'!$A:$B,2,0)</f>
        <v>3</v>
      </c>
      <c r="I447" s="189">
        <f>SUMIFS(Table1[Estimação (horas)],Table1[Tabela],Plano_V3!E447,Table1[Campo],Plano_V3!F447)</f>
        <v>16.100000000000001</v>
      </c>
      <c r="J447" s="189">
        <f t="shared" si="61"/>
        <v>2.0125000000000002</v>
      </c>
      <c r="K447" s="189">
        <f>SUMIFS(Table1[Horas efetivas],Table1[Tabela],Plano_V3!E447,Table1[Campo],Plano_V3!F447)</f>
        <v>8.0500000000000007</v>
      </c>
      <c r="L447" s="189">
        <f t="shared" si="62"/>
        <v>1.0062500000000001</v>
      </c>
      <c r="M447" s="183"/>
      <c r="N447" s="183">
        <f t="shared" si="63"/>
        <v>0.5</v>
      </c>
      <c r="O447" s="183">
        <f t="shared" si="58"/>
        <v>0.5</v>
      </c>
      <c r="P447" s="88" t="s">
        <v>335</v>
      </c>
      <c r="Q447" s="91">
        <f t="shared" si="59"/>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0"/>
        <v>modesg_out_sfcs_taxon_europeianome_general_specific_purpose</v>
      </c>
      <c r="B448" s="68" t="s">
        <v>26</v>
      </c>
      <c r="C448" s="69" t="s">
        <v>311</v>
      </c>
      <c r="D448" s="65" t="s">
        <v>40</v>
      </c>
      <c r="E448" s="67" t="s">
        <v>334</v>
      </c>
      <c r="F448" s="65" t="s">
        <v>204</v>
      </c>
      <c r="G448" s="65" t="str">
        <f>INDEX(Auxiliar!$B$16:$B$24,MATCH(Plano_V3!H448,Auxiliar!$C$16:$C$24,0),1)</f>
        <v>2.2 Em Re-especificação</v>
      </c>
      <c r="H448" s="65">
        <f>VLOOKUP(A448,'Aux - pivots1'!$A:$B,2,0)</f>
        <v>3</v>
      </c>
      <c r="I448" s="189">
        <f>SUMIFS(Table1[Estimação (horas)],Table1[Tabela],Plano_V3!E448,Table1[Campo],Plano_V3!F448)</f>
        <v>8.1</v>
      </c>
      <c r="J448" s="189">
        <f t="shared" si="61"/>
        <v>1.0125</v>
      </c>
      <c r="K448" s="189">
        <f>SUMIFS(Table1[Horas efetivas],Table1[Tabela],Plano_V3!E448,Table1[Campo],Plano_V3!F448)</f>
        <v>4.05</v>
      </c>
      <c r="L448" s="189">
        <f t="shared" si="62"/>
        <v>0.50624999999999998</v>
      </c>
      <c r="M448" s="183"/>
      <c r="N448" s="183">
        <f t="shared" si="63"/>
        <v>0.5</v>
      </c>
      <c r="O448" s="183">
        <f t="shared" si="58"/>
        <v>0.5</v>
      </c>
      <c r="P448" s="88" t="s">
        <v>335</v>
      </c>
      <c r="Q448" s="91">
        <f t="shared" si="59"/>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0"/>
        <v>modesg_out_sfcs_taxon_europeianome_purpose_esg</v>
      </c>
      <c r="B449" s="68" t="s">
        <v>26</v>
      </c>
      <c r="C449" s="69" t="s">
        <v>311</v>
      </c>
      <c r="D449" s="65" t="s">
        <v>40</v>
      </c>
      <c r="E449" s="67" t="s">
        <v>334</v>
      </c>
      <c r="F449" s="65" t="s">
        <v>205</v>
      </c>
      <c r="G449" s="65" t="str">
        <f>INDEX(Auxiliar!$B$16:$B$24,MATCH(Plano_V3!H449,Auxiliar!$C$16:$C$24,0),1)</f>
        <v>2.2 Em Re-especificação</v>
      </c>
      <c r="H449" s="65">
        <f>VLOOKUP(A449,'Aux - pivots1'!$A:$B,2,0)</f>
        <v>3</v>
      </c>
      <c r="I449" s="189">
        <f>SUMIFS(Table1[Estimação (horas)],Table1[Tabela],Plano_V3!E449,Table1[Campo],Plano_V3!F449)</f>
        <v>8.1</v>
      </c>
      <c r="J449" s="189">
        <f t="shared" si="61"/>
        <v>1.0125</v>
      </c>
      <c r="K449" s="189">
        <f>SUMIFS(Table1[Horas efetivas],Table1[Tabela],Plano_V3!E449,Table1[Campo],Plano_V3!F449)</f>
        <v>4.05</v>
      </c>
      <c r="L449" s="189">
        <f t="shared" si="62"/>
        <v>0.50624999999999998</v>
      </c>
      <c r="M449" s="183"/>
      <c r="N449" s="183">
        <f t="shared" si="63"/>
        <v>0.5</v>
      </c>
      <c r="O449" s="183">
        <f t="shared" si="58"/>
        <v>0.5</v>
      </c>
      <c r="P449" s="88" t="s">
        <v>335</v>
      </c>
      <c r="Q449" s="91">
        <f t="shared" si="59"/>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0"/>
        <v>modesg_out_sfcs_taxon_europeianome_specific_eligible</v>
      </c>
      <c r="B450" s="68" t="s">
        <v>26</v>
      </c>
      <c r="C450" s="69" t="s">
        <v>311</v>
      </c>
      <c r="D450" s="65" t="s">
        <v>40</v>
      </c>
      <c r="E450" s="67" t="s">
        <v>334</v>
      </c>
      <c r="F450" s="65" t="s">
        <v>206</v>
      </c>
      <c r="G450" s="65" t="str">
        <f>INDEX(Auxiliar!$B$16:$B$24,MATCH(Plano_V3!H450,Auxiliar!$C$16:$C$24,0),1)</f>
        <v>2.2 Em Re-especificação</v>
      </c>
      <c r="H450" s="65">
        <f>VLOOKUP(A450,'Aux - pivots1'!$A:$B,2,0)</f>
        <v>3</v>
      </c>
      <c r="I450" s="189">
        <f>SUMIFS(Table1[Estimação (horas)],Table1[Tabela],Plano_V3!E450,Table1[Campo],Plano_V3!F450)</f>
        <v>8.1</v>
      </c>
      <c r="J450" s="189">
        <f t="shared" si="61"/>
        <v>1.0125</v>
      </c>
      <c r="K450" s="189">
        <f>SUMIFS(Table1[Horas efetivas],Table1[Tabela],Plano_V3!E450,Table1[Campo],Plano_V3!F450)</f>
        <v>4.05</v>
      </c>
      <c r="L450" s="189">
        <f t="shared" si="62"/>
        <v>0.50624999999999998</v>
      </c>
      <c r="M450" s="183"/>
      <c r="N450" s="183">
        <f t="shared" si="63"/>
        <v>0.5</v>
      </c>
      <c r="O450" s="183">
        <f t="shared" si="58"/>
        <v>0.5</v>
      </c>
      <c r="P450" s="88" t="s">
        <v>335</v>
      </c>
      <c r="Q450" s="91">
        <f t="shared" si="59"/>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0"/>
        <v>modesg_out_sfcs_taxon_europeianome_specific_sustainable</v>
      </c>
      <c r="B451" s="68" t="s">
        <v>26</v>
      </c>
      <c r="C451" s="69" t="s">
        <v>311</v>
      </c>
      <c r="D451" s="65" t="s">
        <v>40</v>
      </c>
      <c r="E451" s="67" t="s">
        <v>334</v>
      </c>
      <c r="F451" s="65" t="s">
        <v>207</v>
      </c>
      <c r="G451" s="65" t="str">
        <f>INDEX(Auxiliar!$B$16:$B$24,MATCH(Plano_V3!H451,Auxiliar!$C$16:$C$24,0),1)</f>
        <v>2.2 Em Re-especificação</v>
      </c>
      <c r="H451" s="65">
        <f>VLOOKUP(A451,'Aux - pivots1'!$A:$B,2,0)</f>
        <v>3</v>
      </c>
      <c r="I451" s="189">
        <f>SUMIFS(Table1[Estimação (horas)],Table1[Tabela],Plano_V3!E451,Table1[Campo],Plano_V3!F451)</f>
        <v>8.1</v>
      </c>
      <c r="J451" s="189">
        <f t="shared" si="61"/>
        <v>1.0125</v>
      </c>
      <c r="K451" s="189">
        <f>SUMIFS(Table1[Horas efetivas],Table1[Tabela],Plano_V3!E451,Table1[Campo],Plano_V3!F451)</f>
        <v>4.05</v>
      </c>
      <c r="L451" s="189">
        <f t="shared" si="62"/>
        <v>0.50624999999999998</v>
      </c>
      <c r="M451" s="183"/>
      <c r="N451" s="183">
        <f t="shared" si="63"/>
        <v>0.5</v>
      </c>
      <c r="O451" s="183">
        <f t="shared" si="58"/>
        <v>0.5</v>
      </c>
      <c r="P451" s="88" t="s">
        <v>335</v>
      </c>
      <c r="Q451" s="91">
        <f t="shared" si="59"/>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0"/>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61"/>
        <v>0.51249999999999996</v>
      </c>
      <c r="K452" s="189">
        <f>SUMIFS(Table1[Horas efetivas],Table1[Tabela],Plano_V3!E452,Table1[Campo],Plano_V3!F452)</f>
        <v>4.0999999999999996</v>
      </c>
      <c r="L452" s="189">
        <f t="shared" si="62"/>
        <v>0.51249999999999996</v>
      </c>
      <c r="M452" s="183"/>
      <c r="N452" s="183">
        <f t="shared" si="63"/>
        <v>1</v>
      </c>
      <c r="O452" s="183">
        <f t="shared" si="58"/>
        <v>1</v>
      </c>
      <c r="P452" s="88" t="s">
        <v>335</v>
      </c>
      <c r="Q452" s="91">
        <f t="shared" si="59"/>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0"/>
        <v>modesg_out_sfcs_taxon_europeiaref_date</v>
      </c>
      <c r="B453" s="68" t="s">
        <v>26</v>
      </c>
      <c r="C453" s="69" t="s">
        <v>311</v>
      </c>
      <c r="D453" s="65" t="s">
        <v>40</v>
      </c>
      <c r="E453" s="67" t="s">
        <v>334</v>
      </c>
      <c r="F453" s="65" t="s">
        <v>208</v>
      </c>
      <c r="G453" s="65" t="str">
        <f>INDEX(Auxiliar!$B$16:$B$24,MATCH(Plano_V3!H453,Auxiliar!$C$16:$C$24,0),1)</f>
        <v>2.2 Em Re-especificação</v>
      </c>
      <c r="H453" s="65">
        <f>VLOOKUP(A453,'Aux - pivots1'!$A:$B,2,0)</f>
        <v>3</v>
      </c>
      <c r="I453" s="189">
        <f>SUMIFS(Table1[Estimação (horas)],Table1[Tabela],Plano_V3!E453,Table1[Campo],Plano_V3!F453)</f>
        <v>4.0999999999999996</v>
      </c>
      <c r="J453" s="189">
        <f t="shared" si="61"/>
        <v>0.51249999999999996</v>
      </c>
      <c r="K453" s="189">
        <f>SUMIFS(Table1[Horas efetivas],Table1[Tabela],Plano_V3!E453,Table1[Campo],Plano_V3!F453)</f>
        <v>2.0499999999999998</v>
      </c>
      <c r="L453" s="189">
        <f t="shared" si="62"/>
        <v>0.25624999999999998</v>
      </c>
      <c r="M453" s="183"/>
      <c r="N453" s="183">
        <f t="shared" si="63"/>
        <v>0.5</v>
      </c>
      <c r="O453" s="183">
        <f t="shared" si="58"/>
        <v>0.5</v>
      </c>
      <c r="P453" s="88" t="s">
        <v>335</v>
      </c>
      <c r="Q453" s="91">
        <f t="shared" si="59"/>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0"/>
        <v>modesg_out_sfcs_taxon_europeiazdeposit</v>
      </c>
      <c r="B454" s="68" t="s">
        <v>26</v>
      </c>
      <c r="C454" s="69" t="s">
        <v>311</v>
      </c>
      <c r="D454" s="65" t="s">
        <v>40</v>
      </c>
      <c r="E454" s="67" t="s">
        <v>334</v>
      </c>
      <c r="F454" s="65" t="s">
        <v>210</v>
      </c>
      <c r="G454" s="65" t="str">
        <f>INDEX(Auxiliar!$B$16:$B$24,MATCH(Plano_V3!H454,Auxiliar!$C$16:$C$24,0),1)</f>
        <v>2.2 Em Re-especificação</v>
      </c>
      <c r="H454" s="65">
        <f>VLOOKUP(A454,'Aux - pivots1'!$A:$B,2,0)</f>
        <v>3</v>
      </c>
      <c r="I454" s="189">
        <f>SUMIFS(Table1[Estimação (horas)],Table1[Tabela],Plano_V3!E454,Table1[Campo],Plano_V3!F454)</f>
        <v>8.1</v>
      </c>
      <c r="J454" s="189">
        <f t="shared" si="61"/>
        <v>1.0125</v>
      </c>
      <c r="K454" s="189">
        <f>SUMIFS(Table1[Horas efetivas],Table1[Tabela],Plano_V3!E454,Table1[Campo],Plano_V3!F454)</f>
        <v>4.05</v>
      </c>
      <c r="L454" s="189">
        <f t="shared" si="62"/>
        <v>0.50624999999999998</v>
      </c>
      <c r="M454" s="183"/>
      <c r="N454" s="183">
        <f t="shared" si="63"/>
        <v>0.5</v>
      </c>
      <c r="O454" s="183">
        <f t="shared" si="58"/>
        <v>0.5</v>
      </c>
      <c r="P454" s="88" t="s">
        <v>335</v>
      </c>
      <c r="Q454" s="91">
        <f t="shared" si="59"/>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0"/>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73.418749999999989</v>
      </c>
      <c r="L455" s="189">
        <f>K455/8</f>
        <v>9.1773437499999986</v>
      </c>
      <c r="M455" s="183"/>
      <c r="N455" s="183">
        <f t="shared" si="63"/>
        <v>0.82970758581720438</v>
      </c>
      <c r="O455" s="183">
        <f t="shared" si="58"/>
        <v>0.82970758581720438</v>
      </c>
      <c r="P455" s="88"/>
      <c r="Q455" s="91">
        <f t="shared" si="59"/>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0"/>
        <v/>
      </c>
      <c r="B456" s="102" t="s">
        <v>26</v>
      </c>
      <c r="C456" s="103" t="s">
        <v>30</v>
      </c>
      <c r="D456" s="97"/>
      <c r="E456" s="104"/>
      <c r="F456" s="97"/>
      <c r="G456" s="97"/>
      <c r="H456" s="97"/>
      <c r="I456" s="188">
        <f>SUM(I457:I592)</f>
        <v>377.63750000000158</v>
      </c>
      <c r="J456" s="188">
        <f>ROUNDUP(I456/8,0)</f>
        <v>48</v>
      </c>
      <c r="K456" s="188">
        <f>SUM(K457:K592)</f>
        <v>339.2468750000013</v>
      </c>
      <c r="L456" s="188">
        <f>ROUNDUP(K456/8,0)</f>
        <v>43</v>
      </c>
      <c r="M456" s="187">
        <f>SUMIFS(R456:ES456,$R$9:$ES$9,"S")/J456</f>
        <v>6.25E-2</v>
      </c>
      <c r="N456" s="187">
        <f>IFERROR(L456/J456,0)</f>
        <v>0.89583333333333337</v>
      </c>
      <c r="O456" s="187">
        <f t="shared" si="58"/>
        <v>0.83333333333333337</v>
      </c>
      <c r="P456" s="195" t="s">
        <v>1931</v>
      </c>
      <c r="Q456" s="91">
        <f t="shared" si="59"/>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0"/>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1">
        <f>SUMIFS(Table1[Estimação (horas)],Table1[Tabela],Plano_V3!E457,Table1[Campo],Plano_V3!F457)</f>
        <v>4.0999999999999996</v>
      </c>
      <c r="J457" s="181">
        <f t="shared" ref="J457:J525" si="64">I457/8</f>
        <v>0.51249999999999996</v>
      </c>
      <c r="K457" s="181">
        <f>SUMIFS(Table1[Horas efetivas],Table1[Tabela],Plano_V3!E457,Table1[Campo],Plano_V3!F457)</f>
        <v>1.0249999999999999</v>
      </c>
      <c r="L457" s="181">
        <f t="shared" ref="L457:L525" si="65">K457/8</f>
        <v>0.12812499999999999</v>
      </c>
      <c r="M457" s="183"/>
      <c r="N457" s="183">
        <f t="shared" ref="N457:N525" si="66">L457/J457</f>
        <v>0.25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0"/>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64"/>
        <v>0.51249999999999996</v>
      </c>
      <c r="K458" s="181">
        <f>SUMIFS(Table1[Horas efetivas],Table1[Tabela],Plano_V3!E458,Table1[Campo],Plano_V3!F458)</f>
        <v>4.0999999999999996</v>
      </c>
      <c r="L458" s="181">
        <f t="shared" si="65"/>
        <v>0.51249999999999996</v>
      </c>
      <c r="M458" s="183"/>
      <c r="N458" s="183">
        <f t="shared" si="66"/>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0"/>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4"/>
        <v>0.51249999999999996</v>
      </c>
      <c r="K459" s="181">
        <f>SUMIFS(Table1[Horas efetivas],Table1[Tabela],Plano_V3!E459,Table1[Campo],Plano_V3!F459)</f>
        <v>4.0999999999999996</v>
      </c>
      <c r="L459" s="181">
        <f t="shared" si="65"/>
        <v>0.51249999999999996</v>
      </c>
      <c r="M459" s="183"/>
      <c r="N459" s="183">
        <f t="shared" si="66"/>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0"/>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4"/>
        <v>0.51249999999999996</v>
      </c>
      <c r="K460" s="181">
        <f>SUMIFS(Table1[Horas efetivas],Table1[Tabela],Plano_V3!E460,Table1[Campo],Plano_V3!F460)</f>
        <v>4.0999999999999996</v>
      </c>
      <c r="L460" s="181">
        <f t="shared" si="65"/>
        <v>0.51249999999999996</v>
      </c>
      <c r="M460" s="183"/>
      <c r="N460" s="183">
        <f t="shared" si="66"/>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0"/>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4"/>
        <v>0.51249999999999996</v>
      </c>
      <c r="K461" s="181">
        <f>SUMIFS(Table1[Horas efetivas],Table1[Tabela],Plano_V3!E461,Table1[Campo],Plano_V3!F461)</f>
        <v>4.0999999999999996</v>
      </c>
      <c r="L461" s="181">
        <f t="shared" si="65"/>
        <v>0.51249999999999996</v>
      </c>
      <c r="M461" s="183"/>
      <c r="N461" s="183">
        <f t="shared" si="66"/>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0"/>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4"/>
        <v>0.51249999999999996</v>
      </c>
      <c r="K462" s="181">
        <f>SUMIFS(Table1[Horas efetivas],Table1[Tabela],Plano_V3!E462,Table1[Campo],Plano_V3!F462)</f>
        <v>4.0999999999999996</v>
      </c>
      <c r="L462" s="181">
        <f t="shared" si="65"/>
        <v>0.51249999999999996</v>
      </c>
      <c r="M462" s="183"/>
      <c r="N462" s="183">
        <f t="shared" si="66"/>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0"/>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4"/>
        <v>0.51249999999999996</v>
      </c>
      <c r="K463" s="181">
        <f>SUMIFS(Table1[Horas efetivas],Table1[Tabela],Plano_V3!E463,Table1[Campo],Plano_V3!F463)</f>
        <v>4.0999999999999996</v>
      </c>
      <c r="L463" s="181">
        <f t="shared" si="65"/>
        <v>0.51249999999999996</v>
      </c>
      <c r="M463" s="183"/>
      <c r="N463" s="183">
        <f t="shared" si="66"/>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0"/>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4"/>
        <v>0.51249999999999996</v>
      </c>
      <c r="K464" s="181">
        <f>SUMIFS(Table1[Horas efetivas],Table1[Tabela],Plano_V3!E464,Table1[Campo],Plano_V3!F464)</f>
        <v>4.0999999999999996</v>
      </c>
      <c r="L464" s="181">
        <f t="shared" si="65"/>
        <v>0.51249999999999996</v>
      </c>
      <c r="M464" s="183"/>
      <c r="N464" s="183">
        <f t="shared" si="66"/>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0"/>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4"/>
        <v>0.51249999999999996</v>
      </c>
      <c r="K465" s="181">
        <f>SUMIFS(Table1[Horas efetivas],Table1[Tabela],Plano_V3!E465,Table1[Campo],Plano_V3!F465)</f>
        <v>4.0999999999999996</v>
      </c>
      <c r="L465" s="181">
        <f t="shared" si="65"/>
        <v>0.51249999999999996</v>
      </c>
      <c r="M465" s="183"/>
      <c r="N465" s="183">
        <f t="shared" si="66"/>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0"/>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4"/>
        <v>0.51249999999999996</v>
      </c>
      <c r="K466" s="181">
        <f>SUMIFS(Table1[Horas efetivas],Table1[Tabela],Plano_V3!E466,Table1[Campo],Plano_V3!F466)</f>
        <v>4.0999999999999996</v>
      </c>
      <c r="L466" s="181">
        <f t="shared" si="65"/>
        <v>0.51249999999999996</v>
      </c>
      <c r="M466" s="183"/>
      <c r="N466" s="183">
        <f t="shared" si="66"/>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0"/>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4"/>
        <v>0.51249999999999996</v>
      </c>
      <c r="K467" s="181">
        <f>SUMIFS(Table1[Horas efetivas],Table1[Tabela],Plano_V3!E467,Table1[Campo],Plano_V3!F467)</f>
        <v>4.0999999999999996</v>
      </c>
      <c r="L467" s="181">
        <f t="shared" si="65"/>
        <v>0.51249999999999996</v>
      </c>
      <c r="M467" s="183"/>
      <c r="N467" s="183">
        <f t="shared" si="66"/>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0"/>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4"/>
        <v>0.51249999999999996</v>
      </c>
      <c r="K468" s="181">
        <f>SUMIFS(Table1[Horas efetivas],Table1[Tabela],Plano_V3!E468,Table1[Campo],Plano_V3!F468)</f>
        <v>4.0999999999999996</v>
      </c>
      <c r="L468" s="181">
        <f t="shared" si="65"/>
        <v>0.51249999999999996</v>
      </c>
      <c r="M468" s="183"/>
      <c r="N468" s="183">
        <f t="shared" si="66"/>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0"/>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4"/>
        <v>0.51249999999999996</v>
      </c>
      <c r="K469" s="181">
        <f>SUMIFS(Table1[Horas efetivas],Table1[Tabela],Plano_V3!E469,Table1[Campo],Plano_V3!F469)</f>
        <v>4.0999999999999996</v>
      </c>
      <c r="L469" s="181">
        <f t="shared" si="65"/>
        <v>0.51249999999999996</v>
      </c>
      <c r="M469" s="183"/>
      <c r="N469" s="183">
        <f t="shared" si="66"/>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0"/>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4"/>
        <v>0.51249999999999996</v>
      </c>
      <c r="K470" s="181">
        <f>SUMIFS(Table1[Horas efetivas],Table1[Tabela],Plano_V3!E470,Table1[Campo],Plano_V3!F470)</f>
        <v>4.0999999999999996</v>
      </c>
      <c r="L470" s="181">
        <f t="shared" si="65"/>
        <v>0.51249999999999996</v>
      </c>
      <c r="M470" s="183"/>
      <c r="N470" s="183">
        <f t="shared" si="66"/>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0"/>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4"/>
        <v>0.51249999999999996</v>
      </c>
      <c r="K471" s="181">
        <f>SUMIFS(Table1[Horas efetivas],Table1[Tabela],Plano_V3!E471,Table1[Campo],Plano_V3!F471)</f>
        <v>4.0999999999999996</v>
      </c>
      <c r="L471" s="181">
        <f t="shared" si="65"/>
        <v>0.51249999999999996</v>
      </c>
      <c r="M471" s="183"/>
      <c r="N471" s="183">
        <f t="shared" si="66"/>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0"/>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4"/>
        <v>0.51249999999999996</v>
      </c>
      <c r="K472" s="181">
        <f>SUMIFS(Table1[Horas efetivas],Table1[Tabela],Plano_V3!E472,Table1[Campo],Plano_V3!F472)</f>
        <v>4.0999999999999996</v>
      </c>
      <c r="L472" s="181">
        <f t="shared" si="65"/>
        <v>0.51249999999999996</v>
      </c>
      <c r="M472" s="183"/>
      <c r="N472" s="183">
        <f t="shared" si="66"/>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0"/>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1">
        <f>SUMIFS(Table1[Estimação (horas)],Table1[Tabela],Plano_V3!E473,Table1[Campo],Plano_V3!F473)</f>
        <v>4.0999999999999996</v>
      </c>
      <c r="J473" s="181">
        <f t="shared" si="64"/>
        <v>0.51249999999999996</v>
      </c>
      <c r="K473" s="181">
        <f>SUMIFS(Table1[Horas efetivas],Table1[Tabela],Plano_V3!E473,Table1[Campo],Plano_V3!F473)</f>
        <v>1.0249999999999999</v>
      </c>
      <c r="L473" s="181">
        <f t="shared" si="65"/>
        <v>0.12812499999999999</v>
      </c>
      <c r="M473" s="183"/>
      <c r="N473" s="183">
        <f t="shared" si="66"/>
        <v>0.25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0"/>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1">
        <f>SUMIFS(Table1[Estimação (horas)],Table1[Tabela],Plano_V3!E474,Table1[Campo],Plano_V3!F474)</f>
        <v>4.0999999999999996</v>
      </c>
      <c r="J474" s="181">
        <f t="shared" si="64"/>
        <v>0.51249999999999996</v>
      </c>
      <c r="K474" s="181">
        <f>SUMIFS(Table1[Horas efetivas],Table1[Tabela],Plano_V3!E474,Table1[Campo],Plano_V3!F474)</f>
        <v>1.0249999999999999</v>
      </c>
      <c r="L474" s="181">
        <f t="shared" si="65"/>
        <v>0.12812499999999999</v>
      </c>
      <c r="M474" s="183"/>
      <c r="N474" s="183">
        <f t="shared" si="66"/>
        <v>0.25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0"/>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1">
        <f>SUMIFS(Table1[Estimação (horas)],Table1[Tabela],Plano_V3!E475,Table1[Campo],Plano_V3!F475)</f>
        <v>4.0999999999999996</v>
      </c>
      <c r="J475" s="181">
        <f t="shared" si="64"/>
        <v>0.51249999999999996</v>
      </c>
      <c r="K475" s="181">
        <f>SUMIFS(Table1[Horas efetivas],Table1[Tabela],Plano_V3!E475,Table1[Campo],Plano_V3!F475)</f>
        <v>1.0249999999999999</v>
      </c>
      <c r="L475" s="181">
        <f t="shared" si="65"/>
        <v>0.12812499999999999</v>
      </c>
      <c r="M475" s="183"/>
      <c r="N475" s="183">
        <f t="shared" si="66"/>
        <v>0.25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0"/>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4"/>
        <v>0.51249999999999996</v>
      </c>
      <c r="K476" s="181">
        <f>SUMIFS(Table1[Horas efetivas],Table1[Tabela],Plano_V3!E476,Table1[Campo],Plano_V3!F476)</f>
        <v>4.0999999999999996</v>
      </c>
      <c r="L476" s="181">
        <f t="shared" si="65"/>
        <v>0.51249999999999996</v>
      </c>
      <c r="M476" s="183"/>
      <c r="N476" s="183">
        <f t="shared" si="66"/>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0"/>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4"/>
        <v>0.51249999999999996</v>
      </c>
      <c r="K477" s="181">
        <f>SUMIFS(Table1[Horas efetivas],Table1[Tabela],Plano_V3!E477,Table1[Campo],Plano_V3!F477)</f>
        <v>4.0999999999999996</v>
      </c>
      <c r="L477" s="181">
        <f t="shared" si="65"/>
        <v>0.51249999999999996</v>
      </c>
      <c r="M477" s="183"/>
      <c r="N477" s="183">
        <f t="shared" si="66"/>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0"/>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4"/>
        <v>0.51249999999999996</v>
      </c>
      <c r="K478" s="181">
        <f>SUMIFS(Table1[Horas efetivas],Table1[Tabela],Plano_V3!E478,Table1[Campo],Plano_V3!F478)</f>
        <v>4.0999999999999996</v>
      </c>
      <c r="L478" s="181">
        <f t="shared" si="65"/>
        <v>0.51249999999999996</v>
      </c>
      <c r="M478" s="183"/>
      <c r="N478" s="183">
        <f t="shared" si="66"/>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0"/>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4"/>
        <v>0.51249999999999996</v>
      </c>
      <c r="K479" s="181">
        <f>SUMIFS(Table1[Horas efetivas],Table1[Tabela],Plano_V3!E479,Table1[Campo],Plano_V3!F479)</f>
        <v>4.0999999999999996</v>
      </c>
      <c r="L479" s="181">
        <f t="shared" si="65"/>
        <v>0.51249999999999996</v>
      </c>
      <c r="M479" s="183"/>
      <c r="N479" s="183">
        <f t="shared" si="66"/>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0"/>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4"/>
        <v>0.51249999999999996</v>
      </c>
      <c r="K480" s="181">
        <f>SUMIFS(Table1[Horas efetivas],Table1[Tabela],Plano_V3!E480,Table1[Campo],Plano_V3!F480)</f>
        <v>4.0999999999999996</v>
      </c>
      <c r="L480" s="181">
        <f t="shared" si="65"/>
        <v>0.51249999999999996</v>
      </c>
      <c r="M480" s="183"/>
      <c r="N480" s="183">
        <f t="shared" si="66"/>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0"/>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4"/>
        <v>0.51249999999999996</v>
      </c>
      <c r="K481" s="181">
        <f>SUMIFS(Table1[Horas efetivas],Table1[Tabela],Plano_V3!E481,Table1[Campo],Plano_V3!F481)</f>
        <v>4.0999999999999996</v>
      </c>
      <c r="L481" s="181">
        <f t="shared" si="65"/>
        <v>0.51249999999999996</v>
      </c>
      <c r="M481" s="183"/>
      <c r="N481" s="183">
        <f t="shared" si="66"/>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0"/>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4"/>
        <v>0.51249999999999996</v>
      </c>
      <c r="K482" s="181">
        <f>SUMIFS(Table1[Horas efetivas],Table1[Tabela],Plano_V3!E482,Table1[Campo],Plano_V3!F482)</f>
        <v>4.0999999999999996</v>
      </c>
      <c r="L482" s="181">
        <f t="shared" si="65"/>
        <v>0.51249999999999996</v>
      </c>
      <c r="M482" s="183"/>
      <c r="N482" s="183">
        <f t="shared" si="66"/>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0"/>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4"/>
        <v>0.51249999999999996</v>
      </c>
      <c r="K483" s="181">
        <f>SUMIFS(Table1[Horas efetivas],Table1[Tabela],Plano_V3!E483,Table1[Campo],Plano_V3!F483)</f>
        <v>4.0999999999999996</v>
      </c>
      <c r="L483" s="181">
        <f t="shared" si="65"/>
        <v>0.51249999999999996</v>
      </c>
      <c r="M483" s="183"/>
      <c r="N483" s="183">
        <f t="shared" si="66"/>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0"/>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4"/>
        <v>0.51249999999999996</v>
      </c>
      <c r="K484" s="181">
        <f>SUMIFS(Table1[Horas efetivas],Table1[Tabela],Plano_V3!E484,Table1[Campo],Plano_V3!F484)</f>
        <v>4.0999999999999996</v>
      </c>
      <c r="L484" s="181">
        <f t="shared" si="65"/>
        <v>0.51249999999999996</v>
      </c>
      <c r="M484" s="183"/>
      <c r="N484" s="183">
        <f t="shared" si="66"/>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0"/>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4"/>
        <v>0.51249999999999996</v>
      </c>
      <c r="K485" s="181">
        <f>SUMIFS(Table1[Horas efetivas],Table1[Tabela],Plano_V3!E485,Table1[Campo],Plano_V3!F485)</f>
        <v>4.0999999999999996</v>
      </c>
      <c r="L485" s="181">
        <f t="shared" si="65"/>
        <v>0.51249999999999996</v>
      </c>
      <c r="M485" s="183"/>
      <c r="N485" s="183">
        <f t="shared" si="66"/>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67">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1">
        <f>SUMIFS(Table1[Estimação (horas)],Table1[Tabela],Plano_V3!E486,Table1[Campo],Plano_V3!F486)</f>
        <v>4.0999999999999996</v>
      </c>
      <c r="J486" s="181">
        <f t="shared" si="64"/>
        <v>0.51249999999999996</v>
      </c>
      <c r="K486" s="181">
        <f>SUMIFS(Table1[Horas efetivas],Table1[Tabela],Plano_V3!E486,Table1[Campo],Plano_V3!F486)</f>
        <v>1.0249999999999999</v>
      </c>
      <c r="L486" s="181">
        <f t="shared" si="65"/>
        <v>0.12812499999999999</v>
      </c>
      <c r="M486" s="183"/>
      <c r="N486" s="183">
        <f t="shared" si="66"/>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67"/>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1">
        <f>SUMIFS(Table1[Estimação (horas)],Table1[Tabela],Plano_V3!E487,Table1[Campo],Plano_V3!F487)</f>
        <v>4.0999999999999996</v>
      </c>
      <c r="J487" s="181">
        <f t="shared" si="64"/>
        <v>0.51249999999999996</v>
      </c>
      <c r="K487" s="181">
        <f>SUMIFS(Table1[Horas efetivas],Table1[Tabela],Plano_V3!E487,Table1[Campo],Plano_V3!F487)</f>
        <v>1.0249999999999999</v>
      </c>
      <c r="L487" s="181">
        <f t="shared" si="65"/>
        <v>0.12812499999999999</v>
      </c>
      <c r="M487" s="183"/>
      <c r="N487" s="183">
        <f t="shared" si="66"/>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67"/>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1">
        <f>SUMIFS(Table1[Estimação (horas)],Table1[Tabela],Plano_V3!E488,Table1[Campo],Plano_V3!F488)</f>
        <v>4.0999999999999996</v>
      </c>
      <c r="J488" s="181">
        <f t="shared" si="64"/>
        <v>0.51249999999999996</v>
      </c>
      <c r="K488" s="181">
        <f>SUMIFS(Table1[Horas efetivas],Table1[Tabela],Plano_V3!E488,Table1[Campo],Plano_V3!F488)</f>
        <v>1.0249999999999999</v>
      </c>
      <c r="L488" s="181">
        <f t="shared" si="65"/>
        <v>0.12812499999999999</v>
      </c>
      <c r="M488" s="183"/>
      <c r="N488" s="183">
        <f t="shared" si="66"/>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67"/>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4"/>
        <v>0.51249999999999996</v>
      </c>
      <c r="K489" s="181">
        <f>SUMIFS(Table1[Horas efetivas],Table1[Tabela],Plano_V3!E489,Table1[Campo],Plano_V3!F489)</f>
        <v>4.0999999999999996</v>
      </c>
      <c r="L489" s="181">
        <f t="shared" si="65"/>
        <v>0.51249999999999996</v>
      </c>
      <c r="M489" s="183"/>
      <c r="N489" s="183">
        <f t="shared" si="66"/>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67"/>
        <v>lt004_protectionep_scr</v>
      </c>
      <c r="B490" s="68" t="s">
        <v>26</v>
      </c>
      <c r="C490" s="69" t="s">
        <v>26</v>
      </c>
      <c r="D490" s="65" t="s">
        <v>40</v>
      </c>
      <c r="E490" s="71" t="s">
        <v>369</v>
      </c>
      <c r="F490" s="72" t="s">
        <v>371</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4"/>
        <v>0.51249999999999996</v>
      </c>
      <c r="K490" s="181">
        <f>SUMIFS(Table1[Horas efetivas],Table1[Tabela],Plano_V3!E490,Table1[Campo],Plano_V3!F490)</f>
        <v>4.0999999999999996</v>
      </c>
      <c r="L490" s="181">
        <f t="shared" si="65"/>
        <v>0.51249999999999996</v>
      </c>
      <c r="M490" s="183"/>
      <c r="N490" s="183">
        <f t="shared" si="66"/>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67"/>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4"/>
        <v>0.51249999999999996</v>
      </c>
      <c r="K491" s="181">
        <f>SUMIFS(Table1[Horas efetivas],Table1[Tabela],Plano_V3!E491,Table1[Campo],Plano_V3!F491)</f>
        <v>4.0999999999999996</v>
      </c>
      <c r="L491" s="181">
        <f t="shared" si="65"/>
        <v>0.51249999999999996</v>
      </c>
      <c r="M491" s="183"/>
      <c r="N491" s="183">
        <f t="shared" si="66"/>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67"/>
        <v>lt004_protectionepc_lbl</v>
      </c>
      <c r="B492" s="68" t="s">
        <v>26</v>
      </c>
      <c r="C492" s="69" t="s">
        <v>26</v>
      </c>
      <c r="D492" s="65" t="s">
        <v>40</v>
      </c>
      <c r="E492" s="71" t="s">
        <v>369</v>
      </c>
      <c r="F492" s="72" t="s">
        <v>373</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4"/>
        <v>0.51249999999999996</v>
      </c>
      <c r="K492" s="181">
        <f>SUMIFS(Table1[Horas efetivas],Table1[Tabela],Plano_V3!E492,Table1[Campo],Plano_V3!F492)</f>
        <v>4.0999999999999996</v>
      </c>
      <c r="L492" s="181">
        <f t="shared" si="65"/>
        <v>0.51249999999999996</v>
      </c>
      <c r="M492" s="183"/>
      <c r="N492" s="183">
        <f t="shared" si="66"/>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67"/>
        <v>lt004_protectionemssns_scp1_prtctn</v>
      </c>
      <c r="B493" s="68" t="s">
        <v>26</v>
      </c>
      <c r="C493" s="69" t="s">
        <v>26</v>
      </c>
      <c r="D493" s="65" t="s">
        <v>40</v>
      </c>
      <c r="E493" s="71" t="s">
        <v>369</v>
      </c>
      <c r="F493" s="72" t="s">
        <v>374</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4"/>
        <v>0.51249999999999996</v>
      </c>
      <c r="K493" s="181">
        <f>SUMIFS(Table1[Horas efetivas],Table1[Tabela],Plano_V3!E493,Table1[Campo],Plano_V3!F493)</f>
        <v>4.0999999999999996</v>
      </c>
      <c r="L493" s="181">
        <f t="shared" si="65"/>
        <v>0.51249999999999996</v>
      </c>
      <c r="M493" s="183"/>
      <c r="N493" s="183">
        <f t="shared" si="66"/>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67"/>
        <v>lt004_protectionemssns_scp2_prtctn</v>
      </c>
      <c r="B494" s="68" t="s">
        <v>26</v>
      </c>
      <c r="C494" s="69" t="s">
        <v>26</v>
      </c>
      <c r="D494" s="65" t="s">
        <v>40</v>
      </c>
      <c r="E494" s="71" t="s">
        <v>369</v>
      </c>
      <c r="F494" s="72" t="s">
        <v>375</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4"/>
        <v>0.51249999999999996</v>
      </c>
      <c r="K494" s="181">
        <f>SUMIFS(Table1[Horas efetivas],Table1[Tabela],Plano_V3!E494,Table1[Campo],Plano_V3!F494)</f>
        <v>4.0999999999999996</v>
      </c>
      <c r="L494" s="181">
        <f t="shared" si="65"/>
        <v>0.51249999999999996</v>
      </c>
      <c r="M494" s="183"/>
      <c r="N494" s="183">
        <f t="shared" si="66"/>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67"/>
        <v>lt004_protectionemssns_scp3_prtctn</v>
      </c>
      <c r="B495" s="68" t="s">
        <v>26</v>
      </c>
      <c r="C495" s="69" t="s">
        <v>26</v>
      </c>
      <c r="D495" s="65" t="s">
        <v>40</v>
      </c>
      <c r="E495" s="71" t="s">
        <v>369</v>
      </c>
      <c r="F495" s="72" t="s">
        <v>376</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4"/>
        <v>0.51249999999999996</v>
      </c>
      <c r="K495" s="181">
        <f>SUMIFS(Table1[Horas efetivas],Table1[Tabela],Plano_V3!E495,Table1[Campo],Plano_V3!F495)</f>
        <v>4.0999999999999996</v>
      </c>
      <c r="L495" s="181">
        <f t="shared" si="65"/>
        <v>0.51249999999999996</v>
      </c>
      <c r="M495" s="183"/>
      <c r="N495" s="183">
        <f t="shared" si="66"/>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67"/>
        <v>lt004_protectionmthd_usd_prtctn_scp_1</v>
      </c>
      <c r="B496" s="68" t="s">
        <v>26</v>
      </c>
      <c r="C496" s="69" t="s">
        <v>26</v>
      </c>
      <c r="D496" s="65" t="s">
        <v>40</v>
      </c>
      <c r="E496" s="71" t="s">
        <v>369</v>
      </c>
      <c r="F496" s="72" t="s">
        <v>377</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4"/>
        <v>0.51249999999999996</v>
      </c>
      <c r="K496" s="181">
        <f>SUMIFS(Table1[Horas efetivas],Table1[Tabela],Plano_V3!E496,Table1[Campo],Plano_V3!F496)</f>
        <v>4.0999999999999996</v>
      </c>
      <c r="L496" s="181">
        <f t="shared" si="65"/>
        <v>0.51249999999999996</v>
      </c>
      <c r="M496" s="183"/>
      <c r="N496" s="183">
        <f t="shared" si="66"/>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67"/>
        <v>lt004_protectionmthd_usd_prtctn_scp_2</v>
      </c>
      <c r="B497" s="68" t="s">
        <v>26</v>
      </c>
      <c r="C497" s="69" t="s">
        <v>26</v>
      </c>
      <c r="D497" s="65" t="s">
        <v>40</v>
      </c>
      <c r="E497" s="71" t="s">
        <v>369</v>
      </c>
      <c r="F497" s="72" t="s">
        <v>378</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4"/>
        <v>0.51249999999999996</v>
      </c>
      <c r="K497" s="181">
        <f>SUMIFS(Table1[Horas efetivas],Table1[Tabela],Plano_V3!E497,Table1[Campo],Plano_V3!F497)</f>
        <v>4.0999999999999996</v>
      </c>
      <c r="L497" s="181">
        <f t="shared" si="65"/>
        <v>0.51249999999999996</v>
      </c>
      <c r="M497" s="183"/>
      <c r="N497" s="183">
        <f t="shared" si="66"/>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67"/>
        <v>lt004_protectionmthd_usd_prtctn_scp_3</v>
      </c>
      <c r="B498" s="68" t="s">
        <v>26</v>
      </c>
      <c r="C498" s="69" t="s">
        <v>26</v>
      </c>
      <c r="D498" s="65" t="s">
        <v>40</v>
      </c>
      <c r="E498" s="71" t="s">
        <v>369</v>
      </c>
      <c r="F498" s="72" t="s">
        <v>379</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4"/>
        <v>0.51249999999999996</v>
      </c>
      <c r="K498" s="181">
        <f>SUMIFS(Table1[Horas efetivas],Table1[Tabela],Plano_V3!E498,Table1[Campo],Plano_V3!F498)</f>
        <v>4.0999999999999996</v>
      </c>
      <c r="L498" s="181">
        <f t="shared" si="65"/>
        <v>0.51249999999999996</v>
      </c>
      <c r="M498" s="183"/>
      <c r="N498" s="183">
        <f t="shared" si="66"/>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67"/>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4"/>
        <v>0.51249999999999996</v>
      </c>
      <c r="K499" s="181">
        <f>SUMIFS(Table1[Horas efetivas],Table1[Tabela],Plano_V3!E499,Table1[Campo],Plano_V3!F499)</f>
        <v>4.0999999999999996</v>
      </c>
      <c r="L499" s="181">
        <f t="shared" si="65"/>
        <v>0.51249999999999996</v>
      </c>
      <c r="M499" s="183"/>
      <c r="N499" s="183">
        <f t="shared" si="66"/>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67"/>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4"/>
        <v>0.51249999999999996</v>
      </c>
      <c r="K500" s="181">
        <f>SUMIFS(Table1[Horas efetivas],Table1[Tabela],Plano_V3!E500,Table1[Campo],Plano_V3!F500)</f>
        <v>4.0999999999999996</v>
      </c>
      <c r="L500" s="181">
        <f t="shared" si="65"/>
        <v>0.51249999999999996</v>
      </c>
      <c r="M500" s="183"/>
      <c r="N500" s="183">
        <f t="shared" si="66"/>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67"/>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4"/>
        <v>0.51249999999999996</v>
      </c>
      <c r="K501" s="181">
        <f>SUMIFS(Table1[Horas efetivas],Table1[Tabela],Plano_V3!E501,Table1[Campo],Plano_V3!F501)</f>
        <v>4.0999999999999996</v>
      </c>
      <c r="L501" s="181">
        <f t="shared" si="65"/>
        <v>0.51249999999999996</v>
      </c>
      <c r="M501" s="183"/>
      <c r="N501" s="183">
        <f t="shared" si="66"/>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67"/>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64"/>
        <v>0.51249999999999996</v>
      </c>
      <c r="K502" s="181">
        <f>SUMIFS(Table1[Horas efetivas],Table1[Tabela],Plano_V3!E502,Table1[Campo],Plano_V3!F502)</f>
        <v>1.0249999999999999</v>
      </c>
      <c r="L502" s="181">
        <f t="shared" si="65"/>
        <v>0.12812499999999999</v>
      </c>
      <c r="M502" s="183"/>
      <c r="N502" s="183">
        <f t="shared" si="66"/>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67"/>
        <v>lt007_instr_activityenvrnmntl_objctv</v>
      </c>
      <c r="B503" s="68" t="s">
        <v>26</v>
      </c>
      <c r="C503" s="69" t="s">
        <v>26</v>
      </c>
      <c r="D503" s="65" t="s">
        <v>40</v>
      </c>
      <c r="E503" s="71" t="s">
        <v>1948</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64"/>
        <v>0.51249999999999996</v>
      </c>
      <c r="K503" s="181">
        <f>SUMIFS(Table1[Horas efetivas],Table1[Tabela],Plano_V3!E503,Table1[Campo],Plano_V3!F503)</f>
        <v>4.0999999999999996</v>
      </c>
      <c r="L503" s="181">
        <f t="shared" si="65"/>
        <v>0.51249999999999996</v>
      </c>
      <c r="M503" s="183"/>
      <c r="N503" s="183">
        <f t="shared" si="66"/>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67"/>
        <v>lt007_instr_activitytyp_actvty</v>
      </c>
      <c r="B504" s="68" t="s">
        <v>26</v>
      </c>
      <c r="C504" s="69" t="s">
        <v>26</v>
      </c>
      <c r="D504" s="65" t="s">
        <v>40</v>
      </c>
      <c r="E504" s="71" t="s">
        <v>1948</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4"/>
        <v>0.51249999999999996</v>
      </c>
      <c r="K504" s="181">
        <f>SUMIFS(Table1[Horas efetivas],Table1[Tabela],Plano_V3!E504,Table1[Campo],Plano_V3!F504)</f>
        <v>4.0999999999999996</v>
      </c>
      <c r="L504" s="181">
        <f t="shared" si="65"/>
        <v>0.51249999999999996</v>
      </c>
      <c r="M504" s="183"/>
      <c r="N504" s="183">
        <f t="shared" si="66"/>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67"/>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4"/>
        <v>0.51249999999999996</v>
      </c>
      <c r="K505" s="181">
        <f>SUMIFS(Table1[Horas efetivas],Table1[Tabela],Plano_V3!E505,Table1[Campo],Plano_V3!F505)</f>
        <v>4.0999999999999996</v>
      </c>
      <c r="L505" s="181">
        <f t="shared" si="65"/>
        <v>0.51249999999999996</v>
      </c>
      <c r="M505" s="183"/>
      <c r="N505" s="183">
        <f t="shared" si="66"/>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67"/>
        <v>lt002_instrumentmthd_usd_instrmnt_scp_1</v>
      </c>
      <c r="B506" s="68" t="s">
        <v>26</v>
      </c>
      <c r="C506" s="69" t="s">
        <v>26</v>
      </c>
      <c r="D506" s="65" t="s">
        <v>40</v>
      </c>
      <c r="E506" s="71" t="s">
        <v>380</v>
      </c>
      <c r="F506" s="72" t="s">
        <v>386</v>
      </c>
      <c r="G506" s="65" t="str">
        <f>INDEX(Auxiliar!$B$16:$B$24,MATCH(Plano_V3!H506,Auxiliar!$C$16:$C$24,0),1)</f>
        <v>3. Pendente de outros desenvolvimentos</v>
      </c>
      <c r="H506" s="65">
        <f>VLOOKUP(A506,'Aux - pivots1'!$A:$B,2,0)</f>
        <v>4</v>
      </c>
      <c r="I506" s="181">
        <f>SUMIFS(Table1[Estimação (horas)],Table1[Tabela],Plano_V3!E506,Table1[Campo],Plano_V3!F506)</f>
        <v>4.0999999999999996</v>
      </c>
      <c r="J506" s="181">
        <f t="shared" si="64"/>
        <v>0.51249999999999996</v>
      </c>
      <c r="K506" s="181">
        <f>SUMIFS(Table1[Horas efetivas],Table1[Tabela],Plano_V3!E506,Table1[Campo],Plano_V3!F506)</f>
        <v>1.0249999999999999</v>
      </c>
      <c r="L506" s="181">
        <f t="shared" si="65"/>
        <v>0.12812499999999999</v>
      </c>
      <c r="M506" s="183"/>
      <c r="N506" s="183">
        <f t="shared" si="66"/>
        <v>0.25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67"/>
        <v>lt002_instrumentmthd_usd_instrmnt_scp_2</v>
      </c>
      <c r="B507" s="68" t="s">
        <v>26</v>
      </c>
      <c r="C507" s="69" t="s">
        <v>26</v>
      </c>
      <c r="D507" s="65" t="s">
        <v>40</v>
      </c>
      <c r="E507" s="71" t="s">
        <v>380</v>
      </c>
      <c r="F507" s="72" t="s">
        <v>387</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4"/>
        <v>0.51249999999999996</v>
      </c>
      <c r="K507" s="181">
        <f>SUMIFS(Table1[Horas efetivas],Table1[Tabela],Plano_V3!E507,Table1[Campo],Plano_V3!F507)</f>
        <v>1.0249999999999999</v>
      </c>
      <c r="L507" s="181">
        <f t="shared" si="65"/>
        <v>0.12812499999999999</v>
      </c>
      <c r="M507" s="183"/>
      <c r="N507" s="183">
        <f t="shared" si="66"/>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67"/>
        <v>lt002_instrumentmthd_usd_instrmnt_scp_3</v>
      </c>
      <c r="B508" s="68" t="s">
        <v>26</v>
      </c>
      <c r="C508" s="69" t="s">
        <v>26</v>
      </c>
      <c r="D508" s="65" t="s">
        <v>40</v>
      </c>
      <c r="E508" s="71" t="s">
        <v>380</v>
      </c>
      <c r="F508" s="72" t="s">
        <v>388</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4"/>
        <v>0.51249999999999996</v>
      </c>
      <c r="K508" s="181">
        <f>SUMIFS(Table1[Horas efetivas],Table1[Tabela],Plano_V3!E508,Table1[Campo],Plano_V3!F508)</f>
        <v>1.0249999999999999</v>
      </c>
      <c r="L508" s="181">
        <f t="shared" si="65"/>
        <v>0.12812499999999999</v>
      </c>
      <c r="M508" s="183"/>
      <c r="N508" s="183">
        <f t="shared" si="66"/>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67"/>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64"/>
        <v>0.51249999999999996</v>
      </c>
      <c r="K509" s="181">
        <f>SUMIFS(Table1[Horas efetivas],Table1[Tabela],Plano_V3!E509,Table1[Campo],Plano_V3!F509)</f>
        <v>4.0999999999999996</v>
      </c>
      <c r="L509" s="181">
        <f t="shared" si="65"/>
        <v>0.51249999999999996</v>
      </c>
      <c r="M509" s="183"/>
      <c r="N509" s="183">
        <f t="shared" si="66"/>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67"/>
        <v>lt827_mthd_usd_instrmntambito</v>
      </c>
      <c r="B510" s="68" t="s">
        <v>26</v>
      </c>
      <c r="C510" s="69" t="s">
        <v>26</v>
      </c>
      <c r="D510" s="65" t="s">
        <v>40</v>
      </c>
      <c r="E510" s="71" t="s">
        <v>1949</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4"/>
        <v>0.51249999999999996</v>
      </c>
      <c r="K510" s="181">
        <f>SUMIFS(Table1[Horas efetivas],Table1[Tabela],Plano_V3!E510,Table1[Campo],Plano_V3!F510)</f>
        <v>4.0999999999999996</v>
      </c>
      <c r="L510" s="181">
        <f t="shared" si="65"/>
        <v>0.51249999999999996</v>
      </c>
      <c r="M510" s="183"/>
      <c r="N510" s="183">
        <f t="shared" si="66"/>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67"/>
        <v>lt827_mthd_usd_instrmntref_date</v>
      </c>
      <c r="B511" s="68" t="s">
        <v>26</v>
      </c>
      <c r="C511" s="69" t="s">
        <v>26</v>
      </c>
      <c r="D511" s="65" t="s">
        <v>40</v>
      </c>
      <c r="E511" s="71" t="s">
        <v>1949</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4"/>
        <v>0.51249999999999996</v>
      </c>
      <c r="K511" s="181">
        <f>SUMIFS(Table1[Horas efetivas],Table1[Tabela],Plano_V3!E511,Table1[Campo],Plano_V3!F511)</f>
        <v>4.0999999999999996</v>
      </c>
      <c r="L511" s="181">
        <f t="shared" si="65"/>
        <v>0.51249999999999996</v>
      </c>
      <c r="M511" s="183"/>
      <c r="N511" s="183">
        <f t="shared" si="66"/>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67"/>
        <v>lt827_mthd_usd_instrmntordem</v>
      </c>
      <c r="B512" s="68" t="s">
        <v>26</v>
      </c>
      <c r="C512" s="69" t="s">
        <v>26</v>
      </c>
      <c r="D512" s="65" t="s">
        <v>40</v>
      </c>
      <c r="E512" s="71" t="s">
        <v>1949</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4"/>
        <v>0.51249999999999996</v>
      </c>
      <c r="K512" s="181">
        <f>SUMIFS(Table1[Horas efetivas],Table1[Tabela],Plano_V3!E512,Table1[Campo],Plano_V3!F512)</f>
        <v>4.0999999999999996</v>
      </c>
      <c r="L512" s="181">
        <f t="shared" si="65"/>
        <v>0.51249999999999996</v>
      </c>
      <c r="M512" s="183"/>
      <c r="N512" s="183">
        <f t="shared" si="66"/>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67"/>
        <v>lt827_mthd_usd_instrmnttabela</v>
      </c>
      <c r="B513" s="68" t="s">
        <v>26</v>
      </c>
      <c r="C513" s="69" t="s">
        <v>26</v>
      </c>
      <c r="D513" s="65" t="s">
        <v>40</v>
      </c>
      <c r="E513" s="71" t="s">
        <v>1949</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4"/>
        <v>0.51249999999999996</v>
      </c>
      <c r="K513" s="181">
        <f>SUMIFS(Table1[Horas efetivas],Table1[Tabela],Plano_V3!E513,Table1[Campo],Plano_V3!F513)</f>
        <v>4.0999999999999996</v>
      </c>
      <c r="L513" s="181">
        <f t="shared" si="65"/>
        <v>0.51249999999999996</v>
      </c>
      <c r="M513" s="183"/>
      <c r="N513" s="183">
        <f t="shared" si="66"/>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67"/>
        <v>lt827_mthd_usd_instrmntorigem_scp1_emss</v>
      </c>
      <c r="B514" s="68" t="s">
        <v>26</v>
      </c>
      <c r="C514" s="69" t="s">
        <v>26</v>
      </c>
      <c r="D514" s="65" t="s">
        <v>40</v>
      </c>
      <c r="E514" s="71" t="s">
        <v>1949</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4"/>
        <v>0.51249999999999996</v>
      </c>
      <c r="K514" s="181">
        <f>SUMIFS(Table1[Horas efetivas],Table1[Tabela],Plano_V3!E514,Table1[Campo],Plano_V3!F514)</f>
        <v>4.0999999999999996</v>
      </c>
      <c r="L514" s="181">
        <f t="shared" si="65"/>
        <v>0.51249999999999996</v>
      </c>
      <c r="M514" s="183"/>
      <c r="N514" s="183">
        <f t="shared" si="66"/>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67"/>
        <v>lt827_mthd_usd_instrmntorigem_scp2_emss</v>
      </c>
      <c r="B515" s="68" t="s">
        <v>26</v>
      </c>
      <c r="C515" s="69" t="s">
        <v>26</v>
      </c>
      <c r="D515" s="65" t="s">
        <v>40</v>
      </c>
      <c r="E515" s="71" t="s">
        <v>1949</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4"/>
        <v>0.51249999999999996</v>
      </c>
      <c r="K515" s="181">
        <f>SUMIFS(Table1[Horas efetivas],Table1[Tabela],Plano_V3!E515,Table1[Campo],Plano_V3!F515)</f>
        <v>4.0999999999999996</v>
      </c>
      <c r="L515" s="181">
        <f t="shared" si="65"/>
        <v>0.51249999999999996</v>
      </c>
      <c r="M515" s="183"/>
      <c r="N515" s="183">
        <f t="shared" si="66"/>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67"/>
        <v>lt827_mthd_usd_instrmntorigem_scp3_emss</v>
      </c>
      <c r="B516" s="68" t="s">
        <v>26</v>
      </c>
      <c r="C516" s="69" t="s">
        <v>26</v>
      </c>
      <c r="D516" s="65" t="s">
        <v>40</v>
      </c>
      <c r="E516" s="71" t="s">
        <v>1949</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4"/>
        <v>0.51249999999999996</v>
      </c>
      <c r="K516" s="181">
        <f>SUMIFS(Table1[Horas efetivas],Table1[Tabela],Plano_V3!E516,Table1[Campo],Plano_V3!F516)</f>
        <v>4.0999999999999996</v>
      </c>
      <c r="L516" s="181">
        <f t="shared" si="65"/>
        <v>0.51249999999999996</v>
      </c>
      <c r="M516" s="183"/>
      <c r="N516" s="183">
        <f t="shared" si="66"/>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67"/>
        <v>lt827_mthd_usd_instrmntmthd_usd_instrmnt_scp_1</v>
      </c>
      <c r="B517" s="68" t="s">
        <v>26</v>
      </c>
      <c r="C517" s="69" t="s">
        <v>26</v>
      </c>
      <c r="D517" s="65" t="s">
        <v>40</v>
      </c>
      <c r="E517" s="71" t="s">
        <v>1949</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4"/>
        <v>0.51249999999999996</v>
      </c>
      <c r="K517" s="181">
        <f>SUMIFS(Table1[Horas efetivas],Table1[Tabela],Plano_V3!E517,Table1[Campo],Plano_V3!F517)</f>
        <v>4.0999999999999996</v>
      </c>
      <c r="L517" s="181">
        <f t="shared" si="65"/>
        <v>0.51249999999999996</v>
      </c>
      <c r="M517" s="183"/>
      <c r="N517" s="183">
        <f t="shared" si="66"/>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67"/>
        <v>lt827_mthd_usd_instrmntmthd_usd_instrmnt_scp_2</v>
      </c>
      <c r="B518" s="68" t="s">
        <v>26</v>
      </c>
      <c r="C518" s="69" t="s">
        <v>26</v>
      </c>
      <c r="D518" s="65" t="s">
        <v>40</v>
      </c>
      <c r="E518" s="71" t="s">
        <v>1949</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4"/>
        <v>0.51249999999999996</v>
      </c>
      <c r="K518" s="181">
        <f>SUMIFS(Table1[Horas efetivas],Table1[Tabela],Plano_V3!E518,Table1[Campo],Plano_V3!F518)</f>
        <v>4.0999999999999996</v>
      </c>
      <c r="L518" s="181">
        <f t="shared" si="65"/>
        <v>0.51249999999999996</v>
      </c>
      <c r="M518" s="183"/>
      <c r="N518" s="183">
        <f t="shared" si="66"/>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67"/>
        <v>lt827_mthd_usd_instrmntmthd_usd_instrmnt_scp_3</v>
      </c>
      <c r="B519" s="68" t="s">
        <v>26</v>
      </c>
      <c r="C519" s="69" t="s">
        <v>26</v>
      </c>
      <c r="D519" s="65" t="s">
        <v>40</v>
      </c>
      <c r="E519" s="71" t="s">
        <v>1949</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4"/>
        <v>0.51249999999999996</v>
      </c>
      <c r="K519" s="181">
        <f>SUMIFS(Table1[Horas efetivas],Table1[Tabela],Plano_V3!E519,Table1[Campo],Plano_V3!F519)</f>
        <v>4.0999999999999996</v>
      </c>
      <c r="L519" s="181">
        <f t="shared" si="65"/>
        <v>0.51249999999999996</v>
      </c>
      <c r="M519" s="183"/>
      <c r="N519" s="183">
        <f t="shared" si="66"/>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67"/>
        <v>lt827_mthd_usd_instrmntpurpose_code</v>
      </c>
      <c r="B520" s="68"/>
      <c r="C520" s="69"/>
      <c r="D520" s="65" t="s">
        <v>40</v>
      </c>
      <c r="E520" s="71" t="s">
        <v>1949</v>
      </c>
      <c r="F520" s="72" t="s">
        <v>1933</v>
      </c>
      <c r="G520" s="65" t="str">
        <f>INDEX(Auxiliar!$B$16:$B$24,MATCH(Plano_V3!H520,Auxiliar!$C$16:$C$24,0),1)</f>
        <v>1. Concluído</v>
      </c>
      <c r="H520" s="65">
        <f>VLOOKUP(A520,'Aux - pivots1'!$A:$B,2,0)</f>
        <v>1</v>
      </c>
      <c r="I520" s="181">
        <f>SUMIFS(Table1[Estimação (horas)],Table1[Tabela],Plano_V3!E520,Table1[Campo],Plano_V3!F520)</f>
        <v>4.0999999999999996</v>
      </c>
      <c r="J520" s="181">
        <f>I520/8</f>
        <v>0.51249999999999996</v>
      </c>
      <c r="K520" s="181">
        <f>SUMIFS(Table1[Horas efetivas],Table1[Tabela],Plano_V3!E520,Table1[Campo],Plano_V3!F520)</f>
        <v>4.0999999999999996</v>
      </c>
      <c r="L520" s="181">
        <f>K520/8</f>
        <v>0.51249999999999996</v>
      </c>
      <c r="M520" s="183"/>
      <c r="N520" s="183">
        <f>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67"/>
        <v>lt827_mthd_usd_instrmntflg_fin</v>
      </c>
      <c r="B521" s="68"/>
      <c r="C521" s="69"/>
      <c r="D521" s="65" t="s">
        <v>40</v>
      </c>
      <c r="E521" s="71" t="s">
        <v>1949</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67"/>
        <v>lt827_mthd_usd_instrmntflg_exec</v>
      </c>
      <c r="B522" s="68"/>
      <c r="C522" s="69"/>
      <c r="D522" s="65" t="s">
        <v>40</v>
      </c>
      <c r="E522" s="71" t="s">
        <v>1949</v>
      </c>
      <c r="F522" s="72" t="s">
        <v>1355</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67"/>
        <v>lt827_mthd_usd_instrmntflg_col</v>
      </c>
      <c r="B523" s="68"/>
      <c r="C523" s="69"/>
      <c r="D523" s="65" t="s">
        <v>40</v>
      </c>
      <c r="E523" s="71" t="s">
        <v>1949</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67"/>
        <v>lt827_mthd_usd_instrmntflg_pro</v>
      </c>
      <c r="B524" s="68"/>
      <c r="C524" s="69"/>
      <c r="D524" s="65" t="s">
        <v>40</v>
      </c>
      <c r="E524" s="71" t="s">
        <v>1949</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67"/>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64"/>
        <v>0.51249999999999996</v>
      </c>
      <c r="K525" s="181">
        <f>SUMIFS(Table1[Horas efetivas],Table1[Tabela],Plano_V3!E525,Table1[Campo],Plano_V3!F525)</f>
        <v>4.0999999999999996</v>
      </c>
      <c r="L525" s="181">
        <f t="shared" si="65"/>
        <v>0.51249999999999996</v>
      </c>
      <c r="M525" s="183"/>
      <c r="N525" s="183">
        <f t="shared" si="66"/>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67"/>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68">I526/8</f>
        <v>0.51249999999999996</v>
      </c>
      <c r="K526" s="181">
        <f>SUMIFS(Table1[Horas efetivas],Table1[Tabela],Plano_V3!E526,Table1[Campo],Plano_V3!F526)</f>
        <v>4.0999999999999996</v>
      </c>
      <c r="L526" s="181">
        <f t="shared" ref="L526:L589" si="69">K526/8</f>
        <v>0.51249999999999996</v>
      </c>
      <c r="M526" s="183"/>
      <c r="N526" s="183">
        <f t="shared" ref="N526:N592" si="70">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67"/>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68"/>
        <v>0.51249999999999996</v>
      </c>
      <c r="K527" s="181">
        <f>SUMIFS(Table1[Horas efetivas],Table1[Tabela],Plano_V3!E527,Table1[Campo],Plano_V3!F527)</f>
        <v>4.0999999999999996</v>
      </c>
      <c r="L527" s="181">
        <f t="shared" si="69"/>
        <v>0.51249999999999996</v>
      </c>
      <c r="M527" s="183"/>
      <c r="N527" s="183">
        <f t="shared" si="70"/>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67"/>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68"/>
        <v>0.51249999999999996</v>
      </c>
      <c r="K528" s="181">
        <f>SUMIFS(Table1[Horas efetivas],Table1[Tabela],Plano_V3!E528,Table1[Campo],Plano_V3!F528)</f>
        <v>4.0999999999999996</v>
      </c>
      <c r="L528" s="181">
        <f t="shared" si="69"/>
        <v>0.51249999999999996</v>
      </c>
      <c r="M528" s="183"/>
      <c r="N528" s="183">
        <f t="shared" si="70"/>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67"/>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68"/>
        <v>0.51249999999999996</v>
      </c>
      <c r="K529" s="181">
        <f>SUMIFS(Table1[Horas efetivas],Table1[Tabela],Plano_V3!E529,Table1[Campo],Plano_V3!F529)</f>
        <v>4.0999999999999996</v>
      </c>
      <c r="L529" s="181">
        <f t="shared" si="69"/>
        <v>0.51249999999999996</v>
      </c>
      <c r="M529" s="183"/>
      <c r="N529" s="183">
        <f t="shared" si="70"/>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67"/>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68"/>
        <v>0.51249999999999996</v>
      </c>
      <c r="K530" s="181">
        <f>SUMIFS(Table1[Horas efetivas],Table1[Tabela],Plano_V3!E530,Table1[Campo],Plano_V3!F530)</f>
        <v>4.0999999999999996</v>
      </c>
      <c r="L530" s="181">
        <f t="shared" si="69"/>
        <v>0.51249999999999996</v>
      </c>
      <c r="M530" s="183"/>
      <c r="N530" s="183">
        <f t="shared" si="70"/>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67"/>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68"/>
        <v>0.51249999999999996</v>
      </c>
      <c r="K531" s="181">
        <f>SUMIFS(Table1[Horas efetivas],Table1[Tabela],Plano_V3!E531,Table1[Campo],Plano_V3!F531)</f>
        <v>4.0999999999999996</v>
      </c>
      <c r="L531" s="181">
        <f t="shared" si="69"/>
        <v>0.51249999999999996</v>
      </c>
      <c r="M531" s="183"/>
      <c r="N531" s="183">
        <f t="shared" si="70"/>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67"/>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68"/>
        <v>0.51249999999999996</v>
      </c>
      <c r="K532" s="181">
        <f>SUMIFS(Table1[Horas efetivas],Table1[Tabela],Plano_V3!E532,Table1[Campo],Plano_V3!F532)</f>
        <v>4.0999999999999996</v>
      </c>
      <c r="L532" s="181">
        <f t="shared" si="69"/>
        <v>0.51249999999999996</v>
      </c>
      <c r="M532" s="183"/>
      <c r="N532" s="183">
        <f t="shared" si="70"/>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67"/>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68"/>
        <v>0.51249999999999996</v>
      </c>
      <c r="K533" s="181">
        <f>SUMIFS(Table1[Horas efetivas],Table1[Tabela],Plano_V3!E533,Table1[Campo],Plano_V3!F533)</f>
        <v>4.0999999999999996</v>
      </c>
      <c r="L533" s="181">
        <f t="shared" si="69"/>
        <v>0.51249999999999996</v>
      </c>
      <c r="M533" s="183"/>
      <c r="N533" s="183">
        <f t="shared" si="70"/>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67"/>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68"/>
        <v>1.2500000000000001E-2</v>
      </c>
      <c r="K534" s="181">
        <f>SUMIFS(Table1[Horas efetivas],Table1[Tabela],Plano_V3!E534,Table1[Campo],Plano_V3!F534)</f>
        <v>0.1</v>
      </c>
      <c r="L534" s="181">
        <f t="shared" si="69"/>
        <v>1.2500000000000001E-2</v>
      </c>
      <c r="M534" s="183"/>
      <c r="N534" s="183">
        <f t="shared" si="70"/>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67"/>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68"/>
        <v>1.2500000000000001E-2</v>
      </c>
      <c r="K535" s="181">
        <f>SUMIFS(Table1[Horas efetivas],Table1[Tabela],Plano_V3!E535,Table1[Campo],Plano_V3!F535)</f>
        <v>0.1</v>
      </c>
      <c r="L535" s="181">
        <f t="shared" si="69"/>
        <v>1.2500000000000001E-2</v>
      </c>
      <c r="M535" s="183"/>
      <c r="N535" s="183">
        <f t="shared" si="70"/>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67"/>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68"/>
        <v>1.2500000000000001E-2</v>
      </c>
      <c r="K536" s="181">
        <f>SUMIFS(Table1[Horas efetivas],Table1[Tabela],Plano_V3!E536,Table1[Campo],Plano_V3!F536)</f>
        <v>0.1</v>
      </c>
      <c r="L536" s="181">
        <f t="shared" si="69"/>
        <v>1.2500000000000001E-2</v>
      </c>
      <c r="M536" s="183"/>
      <c r="N536" s="183">
        <f t="shared" si="70"/>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67"/>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68"/>
        <v>1.2500000000000001E-2</v>
      </c>
      <c r="K537" s="181">
        <f>SUMIFS(Table1[Horas efetivas],Table1[Tabela],Plano_V3!E537,Table1[Campo],Plano_V3!F537)</f>
        <v>0.1</v>
      </c>
      <c r="L537" s="181">
        <f t="shared" si="69"/>
        <v>1.2500000000000001E-2</v>
      </c>
      <c r="M537" s="183"/>
      <c r="N537" s="183">
        <f t="shared" si="70"/>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67"/>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68"/>
        <v>1.2500000000000001E-2</v>
      </c>
      <c r="K538" s="181">
        <f>SUMIFS(Table1[Horas efetivas],Table1[Tabela],Plano_V3!E538,Table1[Campo],Plano_V3!F538)</f>
        <v>0.1</v>
      </c>
      <c r="L538" s="181">
        <f t="shared" si="69"/>
        <v>1.2500000000000001E-2</v>
      </c>
      <c r="M538" s="183"/>
      <c r="N538" s="183">
        <f t="shared" si="70"/>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67"/>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68"/>
        <v>1.2500000000000001E-2</v>
      </c>
      <c r="K539" s="181">
        <f>SUMIFS(Table1[Horas efetivas],Table1[Tabela],Plano_V3!E539,Table1[Campo],Plano_V3!F539)</f>
        <v>0.1</v>
      </c>
      <c r="L539" s="181">
        <f t="shared" si="69"/>
        <v>1.2500000000000001E-2</v>
      </c>
      <c r="M539" s="183"/>
      <c r="N539" s="183">
        <f t="shared" si="70"/>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67"/>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68"/>
        <v>1.2500000000000001E-2</v>
      </c>
      <c r="K540" s="181">
        <f>SUMIFS(Table1[Horas efetivas],Table1[Tabela],Plano_V3!E540,Table1[Campo],Plano_V3!F540)</f>
        <v>0.1</v>
      </c>
      <c r="L540" s="181">
        <f t="shared" si="69"/>
        <v>1.2500000000000001E-2</v>
      </c>
      <c r="M540" s="183"/>
      <c r="N540" s="183">
        <f t="shared" si="70"/>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67"/>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68"/>
        <v>1.2500000000000001E-2</v>
      </c>
      <c r="K541" s="181">
        <f>SUMIFS(Table1[Horas efetivas],Table1[Tabela],Plano_V3!E541,Table1[Campo],Plano_V3!F541)</f>
        <v>0.1</v>
      </c>
      <c r="L541" s="181">
        <f t="shared" si="69"/>
        <v>1.2500000000000001E-2</v>
      </c>
      <c r="M541" s="183"/>
      <c r="N541" s="183">
        <f t="shared" si="70"/>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67"/>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68"/>
        <v>1.2500000000000001E-2</v>
      </c>
      <c r="K542" s="181">
        <f>SUMIFS(Table1[Horas efetivas],Table1[Tabela],Plano_V3!E542,Table1[Campo],Plano_V3!F542)</f>
        <v>0.1</v>
      </c>
      <c r="L542" s="181">
        <f t="shared" si="69"/>
        <v>1.2500000000000001E-2</v>
      </c>
      <c r="M542" s="183"/>
      <c r="N542" s="183">
        <f t="shared" si="70"/>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67"/>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68"/>
        <v>1.2500000000000001E-2</v>
      </c>
      <c r="K543" s="181">
        <f>SUMIFS(Table1[Horas efetivas],Table1[Tabela],Plano_V3!E543,Table1[Campo],Plano_V3!F543)</f>
        <v>0.1</v>
      </c>
      <c r="L543" s="181">
        <f t="shared" si="69"/>
        <v>1.2500000000000001E-2</v>
      </c>
      <c r="M543" s="183"/>
      <c r="N543" s="183">
        <f t="shared" si="70"/>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67"/>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68"/>
        <v>1.2500000000000001E-2</v>
      </c>
      <c r="K544" s="181">
        <f>SUMIFS(Table1[Horas efetivas],Table1[Tabela],Plano_V3!E544,Table1[Campo],Plano_V3!F544)</f>
        <v>0.1</v>
      </c>
      <c r="L544" s="181">
        <f t="shared" si="69"/>
        <v>1.2500000000000001E-2</v>
      </c>
      <c r="M544" s="183"/>
      <c r="N544" s="183">
        <f t="shared" si="70"/>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67"/>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68"/>
        <v>1.2500000000000001E-2</v>
      </c>
      <c r="K545" s="181">
        <f>SUMIFS(Table1[Horas efetivas],Table1[Tabela],Plano_V3!E545,Table1[Campo],Plano_V3!F545)</f>
        <v>0.1</v>
      </c>
      <c r="L545" s="181">
        <f t="shared" si="69"/>
        <v>1.2500000000000001E-2</v>
      </c>
      <c r="M545" s="183"/>
      <c r="N545" s="183">
        <f t="shared" si="70"/>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67"/>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68"/>
        <v>1.2500000000000001E-2</v>
      </c>
      <c r="K546" s="181">
        <f>SUMIFS(Table1[Horas efetivas],Table1[Tabela],Plano_V3!E546,Table1[Campo],Plano_V3!F546)</f>
        <v>0.1</v>
      </c>
      <c r="L546" s="181">
        <f t="shared" si="69"/>
        <v>1.2500000000000001E-2</v>
      </c>
      <c r="M546" s="183"/>
      <c r="N546" s="183">
        <f t="shared" si="70"/>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67"/>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68"/>
        <v>1.2500000000000001E-2</v>
      </c>
      <c r="K547" s="181">
        <f>SUMIFS(Table1[Horas efetivas],Table1[Tabela],Plano_V3!E547,Table1[Campo],Plano_V3!F547)</f>
        <v>0.1</v>
      </c>
      <c r="L547" s="181">
        <f t="shared" si="69"/>
        <v>1.2500000000000001E-2</v>
      </c>
      <c r="M547" s="183"/>
      <c r="N547" s="183">
        <f t="shared" si="70"/>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67"/>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68"/>
        <v>1.2500000000000001E-2</v>
      </c>
      <c r="K548" s="181">
        <f>SUMIFS(Table1[Horas efetivas],Table1[Tabela],Plano_V3!E548,Table1[Campo],Plano_V3!F548)</f>
        <v>0.1</v>
      </c>
      <c r="L548" s="181">
        <f t="shared" si="69"/>
        <v>1.2500000000000001E-2</v>
      </c>
      <c r="M548" s="183"/>
      <c r="N548" s="183">
        <f t="shared" si="70"/>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67"/>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68"/>
        <v>1.2500000000000001E-2</v>
      </c>
      <c r="K549" s="181">
        <f>SUMIFS(Table1[Horas efetivas],Table1[Tabela],Plano_V3!E549,Table1[Campo],Plano_V3!F549)</f>
        <v>0.1</v>
      </c>
      <c r="L549" s="181">
        <f t="shared" si="69"/>
        <v>1.2500000000000001E-2</v>
      </c>
      <c r="M549" s="183"/>
      <c r="N549" s="183">
        <f t="shared" si="70"/>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67"/>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68"/>
        <v>1.2500000000000001E-2</v>
      </c>
      <c r="K550" s="181">
        <f>SUMIFS(Table1[Horas efetivas],Table1[Tabela],Plano_V3!E550,Table1[Campo],Plano_V3!F550)</f>
        <v>0.1</v>
      </c>
      <c r="L550" s="181">
        <f t="shared" si="69"/>
        <v>1.2500000000000001E-2</v>
      </c>
      <c r="M550" s="183"/>
      <c r="N550" s="183">
        <f t="shared" si="70"/>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67"/>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68"/>
        <v>1.2500000000000001E-2</v>
      </c>
      <c r="K551" s="181">
        <f>SUMIFS(Table1[Horas efetivas],Table1[Tabela],Plano_V3!E551,Table1[Campo],Plano_V3!F551)</f>
        <v>0.1</v>
      </c>
      <c r="L551" s="181">
        <f t="shared" si="69"/>
        <v>1.2500000000000001E-2</v>
      </c>
      <c r="M551" s="183"/>
      <c r="N551" s="183">
        <f t="shared" si="70"/>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67"/>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68"/>
        <v>1.2500000000000001E-2</v>
      </c>
      <c r="K552" s="181">
        <f>SUMIFS(Table1[Horas efetivas],Table1[Tabela],Plano_V3!E552,Table1[Campo],Plano_V3!F552)</f>
        <v>0.1</v>
      </c>
      <c r="L552" s="181">
        <f t="shared" si="69"/>
        <v>1.2500000000000001E-2</v>
      </c>
      <c r="M552" s="183"/>
      <c r="N552" s="183">
        <f t="shared" si="70"/>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67"/>
        <v>lt007_instr_activitysstnbl_indctr</v>
      </c>
      <c r="B553" s="68" t="s">
        <v>26</v>
      </c>
      <c r="C553" s="69" t="s">
        <v>26</v>
      </c>
      <c r="D553" s="65" t="s">
        <v>40</v>
      </c>
      <c r="E553" s="71" t="s">
        <v>1948</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68"/>
        <v>1.2500000000000001E-2</v>
      </c>
      <c r="K553" s="181">
        <f>SUMIFS(Table1[Horas efetivas],Table1[Tabela],Plano_V3!E553,Table1[Campo],Plano_V3!F553)</f>
        <v>0.1</v>
      </c>
      <c r="L553" s="181">
        <f t="shared" si="69"/>
        <v>1.2500000000000001E-2</v>
      </c>
      <c r="M553" s="183"/>
      <c r="N553" s="183">
        <f t="shared" si="70"/>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67"/>
        <v>lt007_instr_activitysstnbl_ctgry</v>
      </c>
      <c r="B554" s="68" t="s">
        <v>26</v>
      </c>
      <c r="C554" s="69" t="s">
        <v>26</v>
      </c>
      <c r="D554" s="65" t="s">
        <v>40</v>
      </c>
      <c r="E554" s="71" t="s">
        <v>1948</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68"/>
        <v>1.2500000000000001E-2</v>
      </c>
      <c r="K554" s="181">
        <f>SUMIFS(Table1[Horas efetivas],Table1[Tabela],Plano_V3!E554,Table1[Campo],Plano_V3!F554)</f>
        <v>2.5000000000000001E-2</v>
      </c>
      <c r="L554" s="181">
        <f t="shared" si="69"/>
        <v>3.1250000000000002E-3</v>
      </c>
      <c r="M554" s="183"/>
      <c r="N554" s="183">
        <f t="shared" si="70"/>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67"/>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68"/>
        <v>1.2500000000000001E-2</v>
      </c>
      <c r="K555" s="181">
        <f>SUMIFS(Table1[Horas efetivas],Table1[Tabela],Plano_V3!E555,Table1[Campo],Plano_V3!F555)</f>
        <v>0.05</v>
      </c>
      <c r="L555" s="181">
        <f t="shared" si="69"/>
        <v>6.2500000000000003E-3</v>
      </c>
      <c r="M555" s="183"/>
      <c r="N555" s="183">
        <f t="shared" si="70"/>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67"/>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68"/>
        <v>1.2500000000000001E-2</v>
      </c>
      <c r="K556" s="181">
        <f>SUMIFS(Table1[Horas efetivas],Table1[Tabela],Plano_V3!E556,Table1[Campo],Plano_V3!F556)</f>
        <v>0.05</v>
      </c>
      <c r="L556" s="181">
        <f t="shared" si="69"/>
        <v>6.2500000000000003E-3</v>
      </c>
      <c r="M556" s="183"/>
      <c r="N556" s="183">
        <f t="shared" si="70"/>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67"/>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68"/>
        <v>1.2500000000000001E-2</v>
      </c>
      <c r="K557" s="181">
        <f>SUMIFS(Table1[Horas efetivas],Table1[Tabela],Plano_V3!E557,Table1[Campo],Plano_V3!F557)</f>
        <v>0.05</v>
      </c>
      <c r="L557" s="181">
        <f t="shared" si="69"/>
        <v>6.2500000000000003E-3</v>
      </c>
      <c r="M557" s="183"/>
      <c r="N557" s="183">
        <f t="shared" si="70"/>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67"/>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68"/>
        <v>1.2500000000000001E-2</v>
      </c>
      <c r="K558" s="181">
        <f>SUMIFS(Table1[Horas efetivas],Table1[Tabela],Plano_V3!E558,Table1[Campo],Plano_V3!F558)</f>
        <v>0.1</v>
      </c>
      <c r="L558" s="181">
        <f t="shared" si="69"/>
        <v>1.2500000000000001E-2</v>
      </c>
      <c r="M558" s="183"/>
      <c r="N558" s="183">
        <f t="shared" si="70"/>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67"/>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68"/>
        <v>1.2500000000000001E-2</v>
      </c>
      <c r="K559" s="181">
        <f>SUMIFS(Table1[Horas efetivas],Table1[Tabela],Plano_V3!E559,Table1[Campo],Plano_V3!F559)</f>
        <v>0.1</v>
      </c>
      <c r="L559" s="181">
        <f t="shared" si="69"/>
        <v>1.2500000000000001E-2</v>
      </c>
      <c r="M559" s="183"/>
      <c r="N559" s="183">
        <f t="shared" si="70"/>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67"/>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68"/>
        <v>1.2500000000000001E-2</v>
      </c>
      <c r="K560" s="181">
        <f>SUMIFS(Table1[Horas efetivas],Table1[Tabela],Plano_V3!E560,Table1[Campo],Plano_V3!F560)</f>
        <v>0.1</v>
      </c>
      <c r="L560" s="181">
        <f t="shared" si="69"/>
        <v>1.2500000000000001E-2</v>
      </c>
      <c r="M560" s="183"/>
      <c r="N560" s="183">
        <f t="shared" si="70"/>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67"/>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68"/>
        <v>1.2500000000000001E-2</v>
      </c>
      <c r="K561" s="181">
        <f>SUMIFS(Table1[Horas efetivas],Table1[Tabela],Plano_V3!E561,Table1[Campo],Plano_V3!F561)</f>
        <v>0.1</v>
      </c>
      <c r="L561" s="181">
        <f t="shared" si="69"/>
        <v>1.2500000000000001E-2</v>
      </c>
      <c r="M561" s="183"/>
      <c r="N561" s="183">
        <f t="shared" si="70"/>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67"/>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68"/>
        <v>1.2500000000000001E-2</v>
      </c>
      <c r="K562" s="181">
        <f>SUMIFS(Table1[Horas efetivas],Table1[Tabela],Plano_V3!E562,Table1[Campo],Plano_V3!F562)</f>
        <v>0.1</v>
      </c>
      <c r="L562" s="181">
        <f t="shared" si="69"/>
        <v>1.2500000000000001E-2</v>
      </c>
      <c r="M562" s="183"/>
      <c r="N562" s="183">
        <f t="shared" si="70"/>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67"/>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68"/>
        <v>1.2500000000000001E-2</v>
      </c>
      <c r="K563" s="181">
        <f>SUMIFS(Table1[Horas efetivas],Table1[Tabela],Plano_V3!E563,Table1[Campo],Plano_V3!F563)</f>
        <v>0.1</v>
      </c>
      <c r="L563" s="181">
        <f t="shared" si="69"/>
        <v>1.2500000000000001E-2</v>
      </c>
      <c r="M563" s="183"/>
      <c r="N563" s="183">
        <f t="shared" si="70"/>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67"/>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68"/>
        <v>1.2500000000000001E-2</v>
      </c>
      <c r="K564" s="181">
        <f>SUMIFS(Table1[Horas efetivas],Table1[Tabela],Plano_V3!E564,Table1[Campo],Plano_V3!F564)</f>
        <v>0.1</v>
      </c>
      <c r="L564" s="181">
        <f t="shared" si="69"/>
        <v>1.2500000000000001E-2</v>
      </c>
      <c r="M564" s="183"/>
      <c r="N564" s="183">
        <f t="shared" si="70"/>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67"/>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68"/>
        <v>1.2500000000000001E-2</v>
      </c>
      <c r="K565" s="181">
        <f>SUMIFS(Table1[Horas efetivas],Table1[Tabela],Plano_V3!E565,Table1[Campo],Plano_V3!F565)</f>
        <v>0.1</v>
      </c>
      <c r="L565" s="181">
        <f t="shared" si="69"/>
        <v>1.2500000000000001E-2</v>
      </c>
      <c r="M565" s="183"/>
      <c r="N565" s="183">
        <f t="shared" si="70"/>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67"/>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68"/>
        <v>1.2500000000000001E-2</v>
      </c>
      <c r="K566" s="181">
        <f>SUMIFS(Table1[Horas efetivas],Table1[Tabela],Plano_V3!E566,Table1[Campo],Plano_V3!F566)</f>
        <v>0.1</v>
      </c>
      <c r="L566" s="181">
        <f t="shared" si="69"/>
        <v>1.2500000000000001E-2</v>
      </c>
      <c r="M566" s="183"/>
      <c r="N566" s="183">
        <f t="shared" si="70"/>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67"/>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68"/>
        <v>1.2500000000000001E-2</v>
      </c>
      <c r="K567" s="181">
        <f>SUMIFS(Table1[Horas efetivas],Table1[Tabela],Plano_V3!E567,Table1[Campo],Plano_V3!F567)</f>
        <v>0.1</v>
      </c>
      <c r="L567" s="181">
        <f t="shared" si="69"/>
        <v>1.2500000000000001E-2</v>
      </c>
      <c r="M567" s="183"/>
      <c r="N567" s="183">
        <f t="shared" si="70"/>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67"/>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68"/>
        <v>1.2500000000000001E-2</v>
      </c>
      <c r="K568" s="181">
        <f>SUMIFS(Table1[Horas efetivas],Table1[Tabela],Plano_V3!E568,Table1[Campo],Plano_V3!F568)</f>
        <v>0.1</v>
      </c>
      <c r="L568" s="181">
        <f t="shared" si="69"/>
        <v>1.2500000000000001E-2</v>
      </c>
      <c r="M568" s="183"/>
      <c r="N568" s="183">
        <f t="shared" si="70"/>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67"/>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68"/>
        <v>1.2500000000000001E-2</v>
      </c>
      <c r="K569" s="181">
        <f>SUMIFS(Table1[Horas efetivas],Table1[Tabela],Plano_V3!E569,Table1[Campo],Plano_V3!F569)</f>
        <v>0.1</v>
      </c>
      <c r="L569" s="181">
        <f t="shared" si="69"/>
        <v>1.2500000000000001E-2</v>
      </c>
      <c r="M569" s="183"/>
      <c r="N569" s="183">
        <f t="shared" si="70"/>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67"/>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68"/>
        <v>1.2500000000000001E-2</v>
      </c>
      <c r="K570" s="181">
        <f>SUMIFS(Table1[Horas efetivas],Table1[Tabela],Plano_V3!E570,Table1[Campo],Plano_V3!F570)</f>
        <v>0.1</v>
      </c>
      <c r="L570" s="181">
        <f t="shared" si="69"/>
        <v>1.2500000000000001E-2</v>
      </c>
      <c r="M570" s="183"/>
      <c r="N570" s="183">
        <f t="shared" si="70"/>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67"/>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68"/>
        <v>1.2500000000000001E-2</v>
      </c>
      <c r="K571" s="181">
        <f>SUMIFS(Table1[Horas efetivas],Table1[Tabela],Plano_V3!E571,Table1[Campo],Plano_V3!F571)</f>
        <v>0.1</v>
      </c>
      <c r="L571" s="181">
        <f t="shared" si="69"/>
        <v>1.2500000000000001E-2</v>
      </c>
      <c r="M571" s="183"/>
      <c r="N571" s="183">
        <f t="shared" si="70"/>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67"/>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68"/>
        <v>1.2500000000000001E-2</v>
      </c>
      <c r="K572" s="181">
        <f>SUMIFS(Table1[Horas efetivas],Table1[Tabela],Plano_V3!E572,Table1[Campo],Plano_V3!F572)</f>
        <v>0.1</v>
      </c>
      <c r="L572" s="181">
        <f t="shared" si="69"/>
        <v>1.2500000000000001E-2</v>
      </c>
      <c r="M572" s="183"/>
      <c r="N572" s="183">
        <f t="shared" si="70"/>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67"/>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68"/>
        <v>1.2500000000000001E-2</v>
      </c>
      <c r="K573" s="181">
        <f>SUMIFS(Table1[Horas efetivas],Table1[Tabela],Plano_V3!E573,Table1[Campo],Plano_V3!F573)</f>
        <v>0.1</v>
      </c>
      <c r="L573" s="181">
        <f t="shared" si="69"/>
        <v>1.2500000000000001E-2</v>
      </c>
      <c r="M573" s="183"/>
      <c r="N573" s="183">
        <f t="shared" si="70"/>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67"/>
        <v>lt004_protectiontyp_prtctn</v>
      </c>
      <c r="B574" s="68" t="s">
        <v>26</v>
      </c>
      <c r="C574" s="69" t="s">
        <v>26</v>
      </c>
      <c r="D574" s="65" t="s">
        <v>40</v>
      </c>
      <c r="E574" s="71" t="s">
        <v>369</v>
      </c>
      <c r="F574" s="72" t="s">
        <v>437</v>
      </c>
      <c r="G574" s="65" t="str">
        <f>INDEX(Auxiliar!$B$16:$B$24,MATCH(Plano_V3!H574,Auxiliar!$C$16:$C$24,0),1)</f>
        <v>1. Concluído</v>
      </c>
      <c r="H574" s="65">
        <f>VLOOKUP(A574,'Aux - pivots1'!$A:$B,2,0)</f>
        <v>1</v>
      </c>
      <c r="I574" s="181">
        <f>SUMIFS(Table1[Estimação (horas)],Table1[Tabela],Plano_V3!E574,Table1[Campo],Plano_V3!F574)</f>
        <v>0.1</v>
      </c>
      <c r="J574" s="181">
        <f t="shared" si="68"/>
        <v>1.2500000000000001E-2</v>
      </c>
      <c r="K574" s="181">
        <f>SUMIFS(Table1[Horas efetivas],Table1[Tabela],Plano_V3!E574,Table1[Campo],Plano_V3!F574)</f>
        <v>0.1</v>
      </c>
      <c r="L574" s="181">
        <f t="shared" si="69"/>
        <v>1.2500000000000001E-2</v>
      </c>
      <c r="M574" s="183"/>
      <c r="N574" s="183">
        <f t="shared" si="70"/>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67"/>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68"/>
        <v>1.2500000000000001E-2</v>
      </c>
      <c r="K575" s="181">
        <f>SUMIFS(Table1[Horas efetivas],Table1[Tabela],Plano_V3!E575,Table1[Campo],Plano_V3!F575)</f>
        <v>2.5000000000000001E-2</v>
      </c>
      <c r="L575" s="181">
        <f t="shared" si="69"/>
        <v>3.1250000000000002E-3</v>
      </c>
      <c r="M575" s="183"/>
      <c r="N575" s="183">
        <f t="shared" si="70"/>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67"/>
        <v>lt004_protectionprtctn_vl</v>
      </c>
      <c r="B576" s="68" t="s">
        <v>26</v>
      </c>
      <c r="C576" s="69" t="s">
        <v>26</v>
      </c>
      <c r="D576" s="65" t="s">
        <v>40</v>
      </c>
      <c r="E576" s="71" t="s">
        <v>369</v>
      </c>
      <c r="F576" s="72" t="s">
        <v>439</v>
      </c>
      <c r="G576" s="65" t="str">
        <f>INDEX(Auxiliar!$B$16:$B$24,MATCH(Plano_V3!H576,Auxiliar!$C$16:$C$24,0),1)</f>
        <v>1. Concluído</v>
      </c>
      <c r="H576" s="65">
        <f>VLOOKUP(A576,'Aux - pivots1'!$A:$B,2,0)</f>
        <v>1</v>
      </c>
      <c r="I576" s="181">
        <f>SUMIFS(Table1[Estimação (horas)],Table1[Tabela],Plano_V3!E576,Table1[Campo],Plano_V3!F576)</f>
        <v>0.1</v>
      </c>
      <c r="J576" s="181">
        <f t="shared" si="68"/>
        <v>1.2500000000000001E-2</v>
      </c>
      <c r="K576" s="181">
        <f>SUMIFS(Table1[Horas efetivas],Table1[Tabela],Plano_V3!E576,Table1[Campo],Plano_V3!F576)</f>
        <v>0.1</v>
      </c>
      <c r="L576" s="181">
        <f t="shared" si="69"/>
        <v>1.2500000000000001E-2</v>
      </c>
      <c r="M576" s="183"/>
      <c r="N576" s="183">
        <f t="shared" si="70"/>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67"/>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68"/>
        <v>1.2500000000000001E-2</v>
      </c>
      <c r="K577" s="181">
        <f>SUMIFS(Table1[Horas efetivas],Table1[Tabela],Plano_V3!E577,Table1[Campo],Plano_V3!F577)</f>
        <v>0.1</v>
      </c>
      <c r="L577" s="181">
        <f t="shared" si="69"/>
        <v>1.2500000000000001E-2</v>
      </c>
      <c r="M577" s="183"/>
      <c r="N577" s="183">
        <f t="shared" si="70"/>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67"/>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68"/>
        <v>1.2500000000000001E-2</v>
      </c>
      <c r="K578" s="181">
        <f>SUMIFS(Table1[Horas efetivas],Table1[Tabela],Plano_V3!E578,Table1[Campo],Plano_V3!F578)</f>
        <v>0.1</v>
      </c>
      <c r="L578" s="181">
        <f t="shared" si="69"/>
        <v>1.2500000000000001E-2</v>
      </c>
      <c r="M578" s="183"/>
      <c r="N578" s="183">
        <f t="shared" si="70"/>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67"/>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68"/>
        <v>1.2500000000000001E-2</v>
      </c>
      <c r="K579" s="181">
        <f>SUMIFS(Table1[Horas efetivas],Table1[Tabela],Plano_V3!E579,Table1[Campo],Plano_V3!F579)</f>
        <v>0.1</v>
      </c>
      <c r="L579" s="181">
        <f t="shared" si="69"/>
        <v>1.2500000000000001E-2</v>
      </c>
      <c r="M579" s="183"/>
      <c r="N579" s="183">
        <f t="shared" si="70"/>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67"/>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68"/>
        <v>1.2500000000000001E-2</v>
      </c>
      <c r="K580" s="181">
        <f>SUMIFS(Table1[Horas efetivas],Table1[Tabela],Plano_V3!E580,Table1[Campo],Plano_V3!F580)</f>
        <v>0.1</v>
      </c>
      <c r="L580" s="181">
        <f t="shared" si="69"/>
        <v>1.2500000000000001E-2</v>
      </c>
      <c r="M580" s="183"/>
      <c r="N580" s="183">
        <f t="shared" si="70"/>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67"/>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68"/>
        <v>1.2500000000000001E-2</v>
      </c>
      <c r="K581" s="181">
        <f>SUMIFS(Table1[Horas efetivas],Table1[Tabela],Plano_V3!E581,Table1[Campo],Plano_V3!F581)</f>
        <v>0.1</v>
      </c>
      <c r="L581" s="181">
        <f t="shared" si="69"/>
        <v>1.2500000000000001E-2</v>
      </c>
      <c r="M581" s="183"/>
      <c r="N581" s="183">
        <f t="shared" si="70"/>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67"/>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68"/>
        <v>1.2500000000000001E-2</v>
      </c>
      <c r="K582" s="181">
        <f>SUMIFS(Table1[Horas efetivas],Table1[Tabela],Plano_V3!E582,Table1[Campo],Plano_V3!F582)</f>
        <v>0.1</v>
      </c>
      <c r="L582" s="181">
        <f t="shared" si="69"/>
        <v>1.2500000000000001E-2</v>
      </c>
      <c r="M582" s="183"/>
      <c r="N582" s="183">
        <f t="shared" si="70"/>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67"/>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68"/>
        <v>1.2500000000000001E-2</v>
      </c>
      <c r="K583" s="181">
        <f>SUMIFS(Table1[Horas efetivas],Table1[Tabela],Plano_V3!E583,Table1[Campo],Plano_V3!F583)</f>
        <v>0.1</v>
      </c>
      <c r="L583" s="181">
        <f t="shared" si="69"/>
        <v>1.2500000000000001E-2</v>
      </c>
      <c r="M583" s="183"/>
      <c r="N583" s="183">
        <f t="shared" si="70"/>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67"/>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68"/>
        <v>1.2500000000000001E-2</v>
      </c>
      <c r="K584" s="181">
        <f>SUMIFS(Table1[Horas efetivas],Table1[Tabela],Plano_V3!E584,Table1[Campo],Plano_V3!F584)</f>
        <v>0.1</v>
      </c>
      <c r="L584" s="181">
        <f t="shared" si="69"/>
        <v>1.2500000000000001E-2</v>
      </c>
      <c r="M584" s="183"/>
      <c r="N584" s="183">
        <f t="shared" si="70"/>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67"/>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68"/>
        <v>1.2500000000000001E-2</v>
      </c>
      <c r="K585" s="181">
        <f>SUMIFS(Table1[Horas efetivas],Table1[Tabela],Plano_V3!E585,Table1[Campo],Plano_V3!F585)</f>
        <v>0.1</v>
      </c>
      <c r="L585" s="181">
        <f t="shared" si="69"/>
        <v>1.2500000000000001E-2</v>
      </c>
      <c r="M585" s="183"/>
      <c r="N585" s="183">
        <f t="shared" si="70"/>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67"/>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68"/>
        <v>1.2500000000000001E-2</v>
      </c>
      <c r="K586" s="181">
        <f>SUMIFS(Table1[Horas efetivas],Table1[Tabela],Plano_V3!E586,Table1[Campo],Plano_V3!F586)</f>
        <v>0.1</v>
      </c>
      <c r="L586" s="181">
        <f t="shared" si="69"/>
        <v>1.2500000000000001E-2</v>
      </c>
      <c r="M586" s="183"/>
      <c r="N586" s="183">
        <f t="shared" si="70"/>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67"/>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68"/>
        <v>1.2500000000000001E-2</v>
      </c>
      <c r="K587" s="181">
        <f>SUMIFS(Table1[Horas efetivas],Table1[Tabela],Plano_V3!E587,Table1[Campo],Plano_V3!F587)</f>
        <v>0.1</v>
      </c>
      <c r="L587" s="181">
        <f t="shared" si="69"/>
        <v>1.2500000000000001E-2</v>
      </c>
      <c r="M587" s="183"/>
      <c r="N587" s="183">
        <f t="shared" si="70"/>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67"/>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68"/>
        <v>0.51249999999999996</v>
      </c>
      <c r="K588" s="181">
        <f>SUMIFS(Table1[Horas efetivas],Table1[Tabela],Plano_V3!E588,Table1[Campo],Plano_V3!F588)</f>
        <v>4.0999999999999996</v>
      </c>
      <c r="L588" s="181">
        <f t="shared" si="69"/>
        <v>0.51249999999999996</v>
      </c>
      <c r="M588" s="183"/>
      <c r="N588" s="183">
        <f t="shared" si="70"/>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67"/>
        <v>lt004_protectionflg_exec</v>
      </c>
      <c r="B589" s="68"/>
      <c r="C589" s="69"/>
      <c r="D589" s="65" t="s">
        <v>40</v>
      </c>
      <c r="E589" s="71" t="s">
        <v>369</v>
      </c>
      <c r="F589" s="72" t="s">
        <v>1355</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68"/>
        <v>0.51249999999999996</v>
      </c>
      <c r="K589" s="181">
        <f>SUMIFS(Table1[Horas efetivas],Table1[Tabela],Plano_V3!E589,Table1[Campo],Plano_V3!F589)</f>
        <v>4.0999999999999996</v>
      </c>
      <c r="L589" s="181">
        <f t="shared" si="69"/>
        <v>0.51249999999999996</v>
      </c>
      <c r="M589" s="183"/>
      <c r="N589" s="183">
        <f t="shared" si="70"/>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67"/>
        <v>lt004_protectionflg_col</v>
      </c>
      <c r="B590" s="68"/>
      <c r="C590" s="69"/>
      <c r="D590" s="65" t="s">
        <v>40</v>
      </c>
      <c r="E590" s="71" t="s">
        <v>369</v>
      </c>
      <c r="F590" s="72" t="s">
        <v>480</v>
      </c>
      <c r="G590" s="65" t="str">
        <f>INDEX(Auxiliar!$B$16:$B$24,MATCH(Plano_V3!H590,Auxiliar!$C$16:$C$24,0),1)</f>
        <v>1. Concluído</v>
      </c>
      <c r="H590" s="65">
        <f>VLOOKUP(A590,'Aux - pivots1'!$A:$B,2,0)</f>
        <v>1</v>
      </c>
      <c r="I590" s="181">
        <f>SUMIFS(Table1[Estimação (horas)],Table1[Tabela],Plano_V3!E590,Table1[Campo],Plano_V3!F590)</f>
        <v>4.0999999999999996</v>
      </c>
      <c r="J590" s="181">
        <f>I590/8</f>
        <v>0.51249999999999996</v>
      </c>
      <c r="K590" s="181">
        <f>SUMIFS(Table1[Horas efetivas],Table1[Tabela],Plano_V3!E590,Table1[Campo],Plano_V3!F590)</f>
        <v>4.0999999999999996</v>
      </c>
      <c r="L590" s="181">
        <f>K590/8</f>
        <v>0.51249999999999996</v>
      </c>
      <c r="M590" s="183"/>
      <c r="N590" s="183">
        <f t="shared" si="70"/>
        <v>1</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67"/>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I591/8</f>
        <v>0.51249999999999996</v>
      </c>
      <c r="K591" s="181">
        <f>SUMIFS(Table1[Horas efetivas],Table1[Tabela],Plano_V3!E591,Table1[Campo],Plano_V3!F591)</f>
        <v>4.0999999999999996</v>
      </c>
      <c r="L591" s="181">
        <f>K591/8</f>
        <v>0.51249999999999996</v>
      </c>
      <c r="M591" s="183"/>
      <c r="N591" s="183">
        <f t="shared" si="70"/>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67"/>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35.871875000000131</v>
      </c>
      <c r="L592" s="181">
        <f>K592/8</f>
        <v>4.4839843750000163</v>
      </c>
      <c r="M592" s="183"/>
      <c r="N592" s="183">
        <f t="shared" si="70"/>
        <v>0.89372469635627483</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286.85000000000002</v>
      </c>
      <c r="M594" s="180">
        <f>((M24*J24)+(M19*J19)+(M14*J14))/J594</f>
        <v>0.62261146496815289</v>
      </c>
      <c r="N594" s="180">
        <f>((N24*L24)+(N19*L19)+(N14*L14))/L594</f>
        <v>0.87913231138110071</v>
      </c>
      <c r="O594" s="180">
        <f>N594-M594</f>
        <v>0.25652084641294781</v>
      </c>
      <c r="P594" s="182" t="s">
        <v>25</v>
      </c>
    </row>
    <row r="595" spans="2:51">
      <c r="O595"/>
    </row>
    <row r="596" spans="2:51"/>
  </sheetData>
  <conditionalFormatting sqref="O14:O17 O19:O22 O594">
    <cfRule type="cellIs" dxfId="216" priority="23" operator="lessThan">
      <formula>0</formula>
    </cfRule>
    <cfRule type="cellIs" dxfId="215" priority="24" operator="greaterThanOrEqual">
      <formula>0</formula>
    </cfRule>
  </conditionalFormatting>
  <conditionalFormatting sqref="O24:O592">
    <cfRule type="cellIs" dxfId="214" priority="1" operator="lessThan">
      <formula>0</formula>
    </cfRule>
    <cfRule type="cellIs" dxfId="213" priority="2" operator="greaterThanOrEqual">
      <formula>0</formula>
    </cfRule>
  </conditionalFormatting>
  <conditionalFormatting sqref="Q15:Q17">
    <cfRule type="cellIs" dxfId="212" priority="50" operator="notEqual">
      <formula>0</formula>
    </cfRule>
  </conditionalFormatting>
  <conditionalFormatting sqref="Q20:Q22">
    <cfRule type="cellIs" dxfId="211" priority="42" operator="notEqual">
      <formula>0</formula>
    </cfRule>
  </conditionalFormatting>
  <conditionalFormatting sqref="Q25:Q456">
    <cfRule type="cellIs" dxfId="210" priority="5" operator="notEqual">
      <formula>0</formula>
    </cfRule>
  </conditionalFormatting>
  <conditionalFormatting sqref="R5:R6 S6:ES6">
    <cfRule type="cellIs" dxfId="209" priority="51" operator="notEqual">
      <formula>0</formula>
    </cfRule>
  </conditionalFormatting>
  <conditionalFormatting sqref="R15:ES17 R20:ES22 R25:ES25">
    <cfRule type="cellIs" dxfId="208" priority="49" operator="greaterThan">
      <formula>0</formula>
    </cfRule>
  </conditionalFormatting>
  <conditionalFormatting sqref="R40:ES40">
    <cfRule type="cellIs" dxfId="207" priority="47" operator="greaterThan">
      <formula>0</formula>
    </cfRule>
  </conditionalFormatting>
  <conditionalFormatting sqref="R204:ES204">
    <cfRule type="cellIs" dxfId="206" priority="46" operator="greaterThan">
      <formula>0</formula>
    </cfRule>
  </conditionalFormatting>
  <conditionalFormatting sqref="R371:ES371">
    <cfRule type="cellIs" dxfId="205" priority="45" operator="greaterThan">
      <formula>0</formula>
    </cfRule>
  </conditionalFormatting>
  <conditionalFormatting sqref="R456:ES456">
    <cfRule type="cellIs" dxfId="204"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5</v>
      </c>
      <c r="C4" s="174">
        <v>45510</v>
      </c>
      <c r="D4" s="174">
        <v>45624</v>
      </c>
      <c r="E4" s="328"/>
    </row>
    <row r="5" spans="1:5">
      <c r="A5" t="s">
        <v>675</v>
      </c>
      <c r="B5" s="328">
        <v>5</v>
      </c>
      <c r="C5" s="174">
        <v>45510</v>
      </c>
      <c r="D5" s="174">
        <v>45624</v>
      </c>
      <c r="E5" s="328"/>
    </row>
    <row r="6" spans="1:5">
      <c r="A6" t="s">
        <v>676</v>
      </c>
      <c r="B6" s="328">
        <v>5</v>
      </c>
      <c r="C6" s="174">
        <v>45510</v>
      </c>
      <c r="D6" s="174">
        <v>45624</v>
      </c>
      <c r="E6" s="328"/>
    </row>
    <row r="7" spans="1:5">
      <c r="A7" t="s">
        <v>677</v>
      </c>
      <c r="B7" s="328">
        <v>5</v>
      </c>
      <c r="C7" s="174">
        <v>45510</v>
      </c>
      <c r="D7" s="174">
        <v>45624</v>
      </c>
      <c r="E7" s="328"/>
    </row>
    <row r="8" spans="1:5">
      <c r="A8" t="s">
        <v>678</v>
      </c>
      <c r="B8" s="328">
        <v>5</v>
      </c>
      <c r="C8" s="174">
        <v>45510</v>
      </c>
      <c r="D8" s="174">
        <v>45624</v>
      </c>
      <c r="E8" s="328"/>
    </row>
    <row r="9" spans="1:5">
      <c r="A9" t="s">
        <v>679</v>
      </c>
      <c r="B9" s="328">
        <v>5</v>
      </c>
      <c r="C9" s="174">
        <v>45510</v>
      </c>
      <c r="D9" s="174">
        <v>45624</v>
      </c>
      <c r="E9" s="328"/>
    </row>
    <row r="10" spans="1:5">
      <c r="A10" t="s">
        <v>680</v>
      </c>
      <c r="B10" s="328">
        <v>5</v>
      </c>
      <c r="C10" s="174">
        <v>45510</v>
      </c>
      <c r="D10" s="174">
        <v>45624</v>
      </c>
      <c r="E10" s="328"/>
    </row>
    <row r="11" spans="1:5">
      <c r="A11" t="s">
        <v>681</v>
      </c>
      <c r="B11" s="328">
        <v>5</v>
      </c>
      <c r="C11" s="174">
        <v>45510</v>
      </c>
      <c r="D11" s="174">
        <v>45624</v>
      </c>
      <c r="E11" s="328"/>
    </row>
    <row r="12" spans="1:5">
      <c r="A12" t="s">
        <v>682</v>
      </c>
      <c r="B12" s="328">
        <v>5</v>
      </c>
      <c r="C12" s="174">
        <v>45510</v>
      </c>
      <c r="D12" s="174">
        <v>45624</v>
      </c>
      <c r="E12" s="328"/>
    </row>
    <row r="13" spans="1:5">
      <c r="A13" t="s">
        <v>683</v>
      </c>
      <c r="B13" s="328">
        <v>5</v>
      </c>
      <c r="C13" s="174">
        <v>45510</v>
      </c>
      <c r="D13" s="174">
        <v>45624</v>
      </c>
      <c r="E13" s="328"/>
    </row>
    <row r="14" spans="1:5">
      <c r="A14" t="s">
        <v>684</v>
      </c>
      <c r="B14" s="328">
        <v>5</v>
      </c>
      <c r="C14" s="174">
        <v>45510</v>
      </c>
      <c r="D14" s="174">
        <v>45624</v>
      </c>
      <c r="E14" s="328"/>
    </row>
    <row r="15" spans="1:5">
      <c r="A15" t="s">
        <v>685</v>
      </c>
      <c r="B15" s="328">
        <v>5</v>
      </c>
      <c r="C15" s="174">
        <v>45510</v>
      </c>
      <c r="D15" s="174">
        <v>45624</v>
      </c>
      <c r="E15" s="328"/>
    </row>
    <row r="16" spans="1:5">
      <c r="A16" t="s">
        <v>686</v>
      </c>
      <c r="B16" s="328">
        <v>5</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4</v>
      </c>
      <c r="C48" s="328"/>
      <c r="D48" s="174">
        <v>45621</v>
      </c>
      <c r="E48" s="174">
        <v>45596</v>
      </c>
    </row>
    <row r="49" spans="1:5">
      <c r="A49" t="s">
        <v>719</v>
      </c>
      <c r="B49" s="328">
        <v>4</v>
      </c>
      <c r="C49" s="328"/>
      <c r="D49" s="174">
        <v>45621</v>
      </c>
      <c r="E49" s="174">
        <v>45596</v>
      </c>
    </row>
    <row r="50" spans="1:5">
      <c r="A50" t="s">
        <v>720</v>
      </c>
      <c r="B50" s="328">
        <v>4</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4</v>
      </c>
      <c r="C68" s="174">
        <v>45589</v>
      </c>
      <c r="D68" s="328"/>
      <c r="E68" s="174">
        <v>45644</v>
      </c>
    </row>
    <row r="69" spans="1:5">
      <c r="A69" t="s">
        <v>739</v>
      </c>
      <c r="B69" s="328">
        <v>4</v>
      </c>
      <c r="C69" s="174">
        <v>45589</v>
      </c>
      <c r="D69" s="328"/>
      <c r="E69" s="174">
        <v>45644</v>
      </c>
    </row>
    <row r="70" spans="1:5">
      <c r="A70" t="s">
        <v>740</v>
      </c>
      <c r="B70" s="328">
        <v>4</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4</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1</v>
      </c>
      <c r="C99" s="174">
        <v>45593</v>
      </c>
      <c r="D99" s="174">
        <v>45624</v>
      </c>
      <c r="E99" s="174">
        <v>45624</v>
      </c>
    </row>
    <row r="100" spans="1:5">
      <c r="A100" t="s">
        <v>770</v>
      </c>
      <c r="B100" s="328">
        <v>1</v>
      </c>
      <c r="C100" s="174">
        <v>45593</v>
      </c>
      <c r="D100" s="174">
        <v>45624</v>
      </c>
      <c r="E100" s="174">
        <v>45624</v>
      </c>
    </row>
    <row r="101" spans="1:5">
      <c r="A101" t="s">
        <v>771</v>
      </c>
      <c r="B101" s="328">
        <v>1</v>
      </c>
      <c r="C101" s="174">
        <v>45593</v>
      </c>
      <c r="D101" s="174">
        <v>45624</v>
      </c>
      <c r="E101" s="174">
        <v>45624</v>
      </c>
    </row>
    <row r="102" spans="1:5">
      <c r="A102" t="s">
        <v>772</v>
      </c>
      <c r="B102" s="328">
        <v>1</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6</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3</v>
      </c>
      <c r="C300" s="174">
        <v>45569</v>
      </c>
      <c r="D300" s="174">
        <v>45621</v>
      </c>
      <c r="E300" s="174">
        <v>45631</v>
      </c>
    </row>
    <row r="301" spans="1:5">
      <c r="A301" t="s">
        <v>952</v>
      </c>
      <c r="B301" s="328">
        <v>3</v>
      </c>
      <c r="C301" s="174">
        <v>45569</v>
      </c>
      <c r="D301" s="174">
        <v>45621</v>
      </c>
      <c r="E301" s="174">
        <v>45631</v>
      </c>
    </row>
    <row r="302" spans="1:5">
      <c r="A302" t="s">
        <v>953</v>
      </c>
      <c r="B302" s="328">
        <v>1</v>
      </c>
      <c r="C302" s="328"/>
      <c r="D302" s="328"/>
      <c r="E302" s="328"/>
    </row>
    <row r="303" spans="1:5">
      <c r="A303" t="s">
        <v>954</v>
      </c>
      <c r="B303" s="328">
        <v>3</v>
      </c>
      <c r="C303" s="174">
        <v>45569</v>
      </c>
      <c r="D303" s="174">
        <v>45621</v>
      </c>
      <c r="E303" s="174">
        <v>45631</v>
      </c>
    </row>
    <row r="304" spans="1:5">
      <c r="A304" t="s">
        <v>955</v>
      </c>
      <c r="B304" s="328">
        <v>3</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2</v>
      </c>
      <c r="C330" s="174">
        <v>45553</v>
      </c>
      <c r="D330" s="174">
        <v>45614</v>
      </c>
      <c r="E330" s="174">
        <v>45615</v>
      </c>
    </row>
    <row r="331" spans="1:5">
      <c r="A331" t="s">
        <v>982</v>
      </c>
      <c r="B331" s="328">
        <v>2</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2</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3</v>
      </c>
      <c r="C364" s="174">
        <v>45563</v>
      </c>
      <c r="D364" s="174">
        <v>45624</v>
      </c>
      <c r="E364" s="174">
        <v>45629</v>
      </c>
    </row>
    <row r="365" spans="1:5">
      <c r="A365" t="s">
        <v>1016</v>
      </c>
      <c r="B365" s="328">
        <v>3</v>
      </c>
      <c r="C365" s="174">
        <v>45563</v>
      </c>
      <c r="D365" s="174">
        <v>45624</v>
      </c>
      <c r="E365" s="174">
        <v>45629</v>
      </c>
    </row>
    <row r="366" spans="1:5">
      <c r="A366" t="s">
        <v>1017</v>
      </c>
      <c r="B366" s="328">
        <v>3</v>
      </c>
      <c r="C366" s="174">
        <v>45563</v>
      </c>
      <c r="D366" s="174">
        <v>45624</v>
      </c>
      <c r="E366" s="174">
        <v>45629</v>
      </c>
    </row>
    <row r="367" spans="1:5">
      <c r="A367" t="s">
        <v>1018</v>
      </c>
      <c r="B367" s="328">
        <v>3</v>
      </c>
      <c r="C367" s="174">
        <v>45563</v>
      </c>
      <c r="D367" s="174">
        <v>45624</v>
      </c>
      <c r="E367" s="174">
        <v>45629</v>
      </c>
    </row>
    <row r="368" spans="1:5">
      <c r="A368" t="s">
        <v>1019</v>
      </c>
      <c r="B368" s="328">
        <v>3</v>
      </c>
      <c r="C368" s="174">
        <v>45563</v>
      </c>
      <c r="D368" s="174">
        <v>45624</v>
      </c>
      <c r="E368" s="174">
        <v>45629</v>
      </c>
    </row>
    <row r="369" spans="1:5">
      <c r="A369" t="s">
        <v>1020</v>
      </c>
      <c r="B369" s="328">
        <v>3</v>
      </c>
      <c r="C369" s="174">
        <v>45563</v>
      </c>
      <c r="D369" s="174">
        <v>45624</v>
      </c>
      <c r="E369" s="174">
        <v>45629</v>
      </c>
    </row>
    <row r="370" spans="1:5">
      <c r="A370" t="s">
        <v>1021</v>
      </c>
      <c r="B370" s="328">
        <v>3</v>
      </c>
      <c r="C370" s="174">
        <v>45562</v>
      </c>
      <c r="D370" s="174">
        <v>45624</v>
      </c>
      <c r="E370" s="174">
        <v>45629</v>
      </c>
    </row>
    <row r="371" spans="1:5">
      <c r="A371" t="s">
        <v>1022</v>
      </c>
      <c r="B371" s="328">
        <v>3</v>
      </c>
      <c r="C371" s="174">
        <v>45563</v>
      </c>
      <c r="D371" s="174">
        <v>45624</v>
      </c>
      <c r="E371" s="174">
        <v>45629</v>
      </c>
    </row>
    <row r="372" spans="1:5">
      <c r="A372" t="s">
        <v>1023</v>
      </c>
      <c r="B372" s="328">
        <v>3</v>
      </c>
      <c r="C372" s="174">
        <v>45563</v>
      </c>
      <c r="D372" s="174">
        <v>45624</v>
      </c>
      <c r="E372" s="174">
        <v>45629</v>
      </c>
    </row>
    <row r="373" spans="1:5">
      <c r="A373" t="s">
        <v>1024</v>
      </c>
      <c r="B373" s="328">
        <v>3</v>
      </c>
      <c r="C373" s="174">
        <v>45563</v>
      </c>
      <c r="D373" s="174">
        <v>45624</v>
      </c>
      <c r="E373" s="174">
        <v>45629</v>
      </c>
    </row>
    <row r="374" spans="1:5">
      <c r="A374" t="s">
        <v>1025</v>
      </c>
      <c r="B374" s="328">
        <v>3</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3</v>
      </c>
      <c r="C377" s="174">
        <v>45561</v>
      </c>
      <c r="D377" s="174">
        <v>45624</v>
      </c>
      <c r="E377" s="174">
        <v>45629</v>
      </c>
    </row>
    <row r="378" spans="1:5">
      <c r="A378" t="s">
        <v>1029</v>
      </c>
      <c r="B378" s="328">
        <v>3</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1</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1106</v>
      </c>
      <c r="B455" s="328">
        <v>1</v>
      </c>
      <c r="C455" s="328"/>
      <c r="D455" s="328"/>
      <c r="E455" s="328"/>
    </row>
    <row r="456" spans="1:5">
      <c r="A456" t="s">
        <v>1107</v>
      </c>
      <c r="B456" s="328">
        <v>1</v>
      </c>
      <c r="C456" s="328"/>
      <c r="D456" s="328"/>
      <c r="E456" s="174">
        <v>45639</v>
      </c>
    </row>
    <row r="457" spans="1:5">
      <c r="A457" t="s">
        <v>1108</v>
      </c>
      <c r="B457" s="328">
        <v>1</v>
      </c>
      <c r="C457" s="328"/>
      <c r="D457" s="328"/>
      <c r="E457" s="328"/>
    </row>
    <row r="458" spans="1:5">
      <c r="A458" t="s">
        <v>1109</v>
      </c>
      <c r="B458" s="328">
        <v>1</v>
      </c>
      <c r="C458" s="328"/>
      <c r="D458" s="328"/>
      <c r="E458" s="328"/>
    </row>
    <row r="459" spans="1:5">
      <c r="A459" t="s">
        <v>1110</v>
      </c>
      <c r="B459" s="328">
        <v>1</v>
      </c>
      <c r="C459" s="328"/>
      <c r="D459" s="328"/>
      <c r="E459" s="328"/>
    </row>
    <row r="460" spans="1:5">
      <c r="A460" t="s">
        <v>1111</v>
      </c>
      <c r="B460" s="328">
        <v>1</v>
      </c>
      <c r="C460" s="328"/>
      <c r="D460" s="328"/>
      <c r="E460" s="174">
        <v>45639</v>
      </c>
    </row>
    <row r="461" spans="1:5">
      <c r="A461" t="s">
        <v>1112</v>
      </c>
      <c r="B461" s="328">
        <v>1</v>
      </c>
      <c r="C461" s="328"/>
      <c r="D461" s="328"/>
      <c r="E461" s="328"/>
    </row>
    <row r="462" spans="1:5">
      <c r="A462" t="s">
        <v>1113</v>
      </c>
      <c r="B462" s="328">
        <v>1</v>
      </c>
      <c r="C462" s="328"/>
      <c r="D462" s="328"/>
      <c r="E462" s="328"/>
    </row>
    <row r="463" spans="1:5">
      <c r="A463" t="s">
        <v>1114</v>
      </c>
      <c r="B463" s="328">
        <v>1</v>
      </c>
      <c r="C463" s="328"/>
      <c r="D463" s="328"/>
      <c r="E463" s="328"/>
    </row>
    <row r="464" spans="1:5">
      <c r="A464" t="s">
        <v>1115</v>
      </c>
      <c r="B464" s="328">
        <v>1</v>
      </c>
      <c r="C464" s="328"/>
      <c r="D464" s="328"/>
      <c r="E464" s="174">
        <v>45639</v>
      </c>
    </row>
    <row r="465" spans="1:5">
      <c r="A465" t="s">
        <v>1116</v>
      </c>
      <c r="B465" s="328">
        <v>1</v>
      </c>
      <c r="C465" s="328"/>
      <c r="D465" s="328"/>
      <c r="E465" s="174">
        <v>45639</v>
      </c>
    </row>
    <row r="466" spans="1:5">
      <c r="A466" t="s">
        <v>1117</v>
      </c>
      <c r="B466" s="328">
        <v>1</v>
      </c>
      <c r="C466" s="328"/>
      <c r="D466" s="328"/>
      <c r="E466" s="328"/>
    </row>
    <row r="467" spans="1:5">
      <c r="A467" t="s">
        <v>1118</v>
      </c>
      <c r="B467" s="328">
        <v>1</v>
      </c>
      <c r="C467" s="328"/>
      <c r="D467" s="328"/>
      <c r="E467" s="174">
        <v>45639</v>
      </c>
    </row>
    <row r="468" spans="1:5">
      <c r="A468" t="s">
        <v>1119</v>
      </c>
      <c r="B468" s="328">
        <v>1</v>
      </c>
      <c r="C468" s="328"/>
      <c r="D468" s="328"/>
      <c r="E468" s="174">
        <v>45639</v>
      </c>
    </row>
    <row r="469" spans="1:5">
      <c r="A469" t="s">
        <v>1120</v>
      </c>
      <c r="B469" s="328">
        <v>1</v>
      </c>
      <c r="C469" s="328"/>
      <c r="D469" s="328"/>
      <c r="E469" s="174">
        <v>45639</v>
      </c>
    </row>
    <row r="470" spans="1:5">
      <c r="A470" t="s">
        <v>1121</v>
      </c>
      <c r="B470" s="328">
        <v>1</v>
      </c>
      <c r="C470" s="328"/>
      <c r="D470" s="328"/>
      <c r="E470" s="174">
        <v>45639</v>
      </c>
    </row>
    <row r="471" spans="1:5">
      <c r="A471" t="s">
        <v>1122</v>
      </c>
      <c r="B471" s="328">
        <v>1</v>
      </c>
      <c r="C471" s="328"/>
      <c r="D471" s="328"/>
      <c r="E471" s="328"/>
    </row>
    <row r="472" spans="1:5">
      <c r="A472" t="s">
        <v>1123</v>
      </c>
      <c r="B472" s="328">
        <v>1</v>
      </c>
      <c r="C472" s="328"/>
      <c r="D472" s="328"/>
      <c r="E472" s="328"/>
    </row>
    <row r="473" spans="1:5">
      <c r="A473" t="s">
        <v>1124</v>
      </c>
      <c r="B473" s="328">
        <v>1</v>
      </c>
      <c r="C473" s="328"/>
      <c r="D473" s="328"/>
      <c r="E473" s="174">
        <v>45639</v>
      </c>
    </row>
    <row r="474" spans="1:5">
      <c r="A474" t="s">
        <v>1125</v>
      </c>
      <c r="B474" s="328">
        <v>1</v>
      </c>
      <c r="C474" s="328"/>
      <c r="D474" s="328"/>
      <c r="E474" s="174">
        <v>45639</v>
      </c>
    </row>
    <row r="475" spans="1:5">
      <c r="A475" t="s">
        <v>1126</v>
      </c>
      <c r="B475" s="328">
        <v>1</v>
      </c>
      <c r="C475" s="328"/>
      <c r="D475" s="328"/>
      <c r="E475" s="328"/>
    </row>
    <row r="476" spans="1:5">
      <c r="A476" t="s">
        <v>1127</v>
      </c>
      <c r="B476" s="328">
        <v>1</v>
      </c>
      <c r="C476" s="328"/>
      <c r="D476" s="328"/>
      <c r="E476" s="174">
        <v>45639</v>
      </c>
    </row>
    <row r="477" spans="1:5">
      <c r="A477" t="s">
        <v>1128</v>
      </c>
      <c r="B477" s="328">
        <v>1</v>
      </c>
      <c r="C477" s="328"/>
      <c r="D477" s="328"/>
      <c r="E477" s="174">
        <v>45639</v>
      </c>
    </row>
    <row r="478" spans="1:5">
      <c r="A478" t="s">
        <v>1129</v>
      </c>
      <c r="B478" s="328">
        <v>1</v>
      </c>
      <c r="C478" s="328"/>
      <c r="D478" s="328"/>
      <c r="E478" s="328"/>
    </row>
    <row r="479" spans="1:5">
      <c r="A479" t="s">
        <v>1130</v>
      </c>
      <c r="B479" s="328">
        <v>1</v>
      </c>
      <c r="C479" s="328"/>
      <c r="D479" s="328"/>
      <c r="E479" s="328"/>
    </row>
    <row r="480" spans="1:5">
      <c r="A480" t="s">
        <v>1131</v>
      </c>
      <c r="B480" s="328">
        <v>1</v>
      </c>
      <c r="C480" s="328"/>
      <c r="D480" s="328"/>
      <c r="E480" s="328"/>
    </row>
    <row r="481" spans="1:5">
      <c r="A481" t="s">
        <v>1132</v>
      </c>
      <c r="B481" s="328">
        <v>1</v>
      </c>
      <c r="C481" s="328"/>
      <c r="D481" s="328"/>
      <c r="E481" s="328"/>
    </row>
    <row r="482" spans="1:5">
      <c r="A482" t="s">
        <v>1133</v>
      </c>
      <c r="B482" s="328">
        <v>1</v>
      </c>
      <c r="C482" s="328"/>
      <c r="D482" s="328"/>
      <c r="E482" s="328"/>
    </row>
    <row r="483" spans="1:5">
      <c r="A483" t="s">
        <v>1134</v>
      </c>
      <c r="B483" s="328">
        <v>1</v>
      </c>
      <c r="C483" s="328"/>
      <c r="D483" s="328"/>
      <c r="E483" s="328"/>
    </row>
    <row r="484" spans="1:5">
      <c r="A484" t="s">
        <v>1135</v>
      </c>
      <c r="B484" s="328">
        <v>1</v>
      </c>
      <c r="C484" s="328"/>
      <c r="D484" s="328"/>
      <c r="E484" s="328"/>
    </row>
    <row r="485" spans="1:5">
      <c r="A485" t="s">
        <v>1136</v>
      </c>
      <c r="B485" s="328">
        <v>1</v>
      </c>
      <c r="C485" s="328"/>
      <c r="D485" s="328"/>
      <c r="E485" s="328"/>
    </row>
    <row r="486" spans="1:5">
      <c r="A486" t="s">
        <v>1137</v>
      </c>
      <c r="B486" s="328">
        <v>1</v>
      </c>
      <c r="C486" s="328"/>
      <c r="D486" s="328"/>
      <c r="E486" s="328"/>
    </row>
    <row r="487" spans="1:5">
      <c r="A487" t="s">
        <v>1138</v>
      </c>
      <c r="B487" s="328">
        <v>1</v>
      </c>
      <c r="C487" s="328"/>
      <c r="D487" s="328"/>
      <c r="E487" s="328"/>
    </row>
    <row r="488" spans="1:5">
      <c r="A488" t="s">
        <v>1139</v>
      </c>
      <c r="B488" s="328">
        <v>1</v>
      </c>
      <c r="C488" s="328"/>
      <c r="D488" s="328"/>
      <c r="E488" s="174">
        <v>45639</v>
      </c>
    </row>
    <row r="489" spans="1:5">
      <c r="A489" t="s">
        <v>1140</v>
      </c>
      <c r="B489" s="328">
        <v>1</v>
      </c>
      <c r="C489" s="328"/>
      <c r="D489" s="328"/>
      <c r="E489" s="328"/>
    </row>
    <row r="490" spans="1:5">
      <c r="A490" t="s">
        <v>1141</v>
      </c>
      <c r="B490" s="328">
        <v>1</v>
      </c>
      <c r="C490" s="328"/>
      <c r="D490" s="328"/>
      <c r="E490" s="328"/>
    </row>
    <row r="491" spans="1:5">
      <c r="A491" t="s">
        <v>1142</v>
      </c>
      <c r="B491" s="328">
        <v>1</v>
      </c>
      <c r="C491" s="328"/>
      <c r="D491" s="328"/>
      <c r="E491" s="328"/>
    </row>
    <row r="492" spans="1:5">
      <c r="A492" t="s">
        <v>1143</v>
      </c>
      <c r="B492" s="328">
        <v>1</v>
      </c>
      <c r="C492" s="328"/>
      <c r="D492" s="328"/>
      <c r="E492" s="174">
        <v>45639</v>
      </c>
    </row>
    <row r="493" spans="1:5">
      <c r="A493" t="s">
        <v>1144</v>
      </c>
      <c r="B493" s="328">
        <v>1</v>
      </c>
      <c r="C493" s="328"/>
      <c r="D493" s="328"/>
      <c r="E493" s="174">
        <v>45639</v>
      </c>
    </row>
    <row r="494" spans="1:5">
      <c r="A494" t="s">
        <v>1145</v>
      </c>
      <c r="B494" s="328">
        <v>1</v>
      </c>
      <c r="C494" s="328"/>
      <c r="D494" s="328"/>
      <c r="E494" s="328"/>
    </row>
    <row r="495" spans="1:5">
      <c r="A495" t="s">
        <v>1146</v>
      </c>
      <c r="B495" s="328">
        <v>1</v>
      </c>
      <c r="C495" s="328"/>
      <c r="D495" s="328"/>
      <c r="E495" s="328"/>
    </row>
    <row r="496" spans="1:5">
      <c r="A496" t="s">
        <v>1147</v>
      </c>
      <c r="B496" s="328">
        <v>1</v>
      </c>
      <c r="C496" s="328"/>
      <c r="D496" s="328"/>
      <c r="E496" s="328"/>
    </row>
    <row r="497" spans="1:5">
      <c r="A497" t="s">
        <v>1148</v>
      </c>
      <c r="B497" s="328">
        <v>1</v>
      </c>
      <c r="C497" s="328"/>
      <c r="D497" s="328"/>
      <c r="E497" s="328"/>
    </row>
    <row r="498" spans="1:5">
      <c r="A498" t="s">
        <v>1149</v>
      </c>
      <c r="B498" s="328">
        <v>1</v>
      </c>
      <c r="C498" s="328"/>
      <c r="D498" s="328"/>
      <c r="E498" s="174">
        <v>45639</v>
      </c>
    </row>
    <row r="499" spans="1:5">
      <c r="A499" t="s">
        <v>1150</v>
      </c>
      <c r="B499" s="328">
        <v>1</v>
      </c>
      <c r="C499" s="328"/>
      <c r="D499" s="328"/>
      <c r="E499" s="328"/>
    </row>
    <row r="500" spans="1:5">
      <c r="A500" t="s">
        <v>1151</v>
      </c>
      <c r="B500" s="328">
        <v>1</v>
      </c>
      <c r="C500" s="328"/>
      <c r="D500" s="328"/>
      <c r="E500" s="328"/>
    </row>
    <row r="501" spans="1:5">
      <c r="A501" t="s">
        <v>1152</v>
      </c>
      <c r="B501" s="328">
        <v>1</v>
      </c>
      <c r="C501" s="328"/>
      <c r="D501" s="328"/>
      <c r="E501" s="328"/>
    </row>
    <row r="502" spans="1:5">
      <c r="A502" t="s">
        <v>1153</v>
      </c>
      <c r="B502" s="328">
        <v>1</v>
      </c>
      <c r="C502" s="328"/>
      <c r="D502" s="328"/>
      <c r="E502" s="174">
        <v>45639</v>
      </c>
    </row>
    <row r="503" spans="1:5">
      <c r="A503" t="s">
        <v>1154</v>
      </c>
      <c r="B503" s="328">
        <v>1</v>
      </c>
      <c r="C503" s="328"/>
      <c r="D503" s="328"/>
      <c r="E503" s="328"/>
    </row>
    <row r="504" spans="1:5">
      <c r="A504" t="s">
        <v>1155</v>
      </c>
      <c r="B504" s="328">
        <v>1</v>
      </c>
      <c r="C504" s="328"/>
      <c r="D504" s="328"/>
      <c r="E504" s="328"/>
    </row>
    <row r="505" spans="1:5">
      <c r="A505" t="s">
        <v>1156</v>
      </c>
      <c r="B505" s="328">
        <v>1</v>
      </c>
      <c r="C505" s="328"/>
      <c r="D505" s="328"/>
      <c r="E505" s="328"/>
    </row>
    <row r="506" spans="1:5">
      <c r="A506" t="s">
        <v>1157</v>
      </c>
      <c r="B506" s="328">
        <v>1</v>
      </c>
      <c r="C506" s="328"/>
      <c r="D506" s="328"/>
      <c r="E506" s="328"/>
    </row>
    <row r="507" spans="1:5">
      <c r="A507" t="s">
        <v>1158</v>
      </c>
      <c r="B507" s="328">
        <v>1</v>
      </c>
      <c r="C507" s="328"/>
      <c r="D507" s="328"/>
      <c r="E507" s="328"/>
    </row>
    <row r="508" spans="1:5">
      <c r="A508" t="s">
        <v>1159</v>
      </c>
      <c r="B508" s="328">
        <v>1</v>
      </c>
      <c r="C508" s="328"/>
      <c r="D508" s="328"/>
      <c r="E508" s="328"/>
    </row>
    <row r="509" spans="1:5">
      <c r="A509" t="s">
        <v>1160</v>
      </c>
      <c r="B509" s="328">
        <v>1</v>
      </c>
      <c r="C509" s="328"/>
      <c r="D509" s="328"/>
      <c r="E509" s="328"/>
    </row>
    <row r="510" spans="1:5">
      <c r="A510" t="s">
        <v>1161</v>
      </c>
      <c r="B510" s="328">
        <v>1</v>
      </c>
      <c r="C510" s="328"/>
      <c r="D510" s="328"/>
      <c r="E510" s="328"/>
    </row>
    <row r="511" spans="1:5">
      <c r="A511" t="s">
        <v>1162</v>
      </c>
      <c r="B511" s="328">
        <v>1</v>
      </c>
      <c r="C511" s="328"/>
      <c r="D511" s="328"/>
      <c r="E511" s="328"/>
    </row>
    <row r="512" spans="1:5">
      <c r="A512" t="s">
        <v>1163</v>
      </c>
      <c r="B512" s="328">
        <v>1</v>
      </c>
      <c r="C512" s="328"/>
      <c r="D512" s="328"/>
      <c r="E512" s="328"/>
    </row>
    <row r="513" spans="1:5">
      <c r="A513" t="s">
        <v>1164</v>
      </c>
      <c r="B513" s="328">
        <v>1</v>
      </c>
      <c r="C513" s="328"/>
      <c r="D513" s="328"/>
      <c r="E513" s="328"/>
    </row>
    <row r="514" spans="1:5">
      <c r="A514" t="s">
        <v>1165</v>
      </c>
      <c r="B514" s="328">
        <v>1</v>
      </c>
      <c r="C514" s="328"/>
      <c r="D514" s="328"/>
      <c r="E514" s="328"/>
    </row>
    <row r="515" spans="1:5">
      <c r="A515" t="s">
        <v>1166</v>
      </c>
      <c r="B515" s="328">
        <v>1</v>
      </c>
      <c r="C515" s="328"/>
      <c r="D515" s="328"/>
      <c r="E515" s="328"/>
    </row>
    <row r="516" spans="1:5">
      <c r="A516" t="s">
        <v>1167</v>
      </c>
      <c r="B516" s="328">
        <v>1</v>
      </c>
      <c r="C516" s="328"/>
      <c r="D516" s="328"/>
      <c r="E516" s="328"/>
    </row>
    <row r="517" spans="1:5">
      <c r="A517" t="s">
        <v>1168</v>
      </c>
      <c r="B517" s="328">
        <v>1</v>
      </c>
      <c r="C517" s="328"/>
      <c r="D517" s="328"/>
      <c r="E517" s="328"/>
    </row>
    <row r="518" spans="1:5">
      <c r="A518" t="s">
        <v>1169</v>
      </c>
      <c r="B518" s="328">
        <v>1</v>
      </c>
      <c r="C518" s="328"/>
      <c r="D518" s="328"/>
      <c r="E518" s="328"/>
    </row>
    <row r="519" spans="1:5">
      <c r="A519" t="s">
        <v>1170</v>
      </c>
      <c r="B519" s="328">
        <v>1</v>
      </c>
      <c r="C519" s="328"/>
      <c r="D519" s="328"/>
      <c r="E519" s="328"/>
    </row>
    <row r="520" spans="1:5">
      <c r="A520" t="s">
        <v>1171</v>
      </c>
      <c r="B520" s="328">
        <v>1</v>
      </c>
      <c r="C520" s="328"/>
      <c r="D520" s="328"/>
      <c r="E520" s="328"/>
    </row>
    <row r="521" spans="1:5">
      <c r="A521" t="s">
        <v>1937</v>
      </c>
      <c r="B521" s="328">
        <v>1</v>
      </c>
      <c r="C521" s="328"/>
      <c r="D521" s="328"/>
      <c r="E521" s="174">
        <v>45645</v>
      </c>
    </row>
    <row r="522" spans="1:5">
      <c r="A522" t="s">
        <v>1172</v>
      </c>
      <c r="B522" s="328">
        <v>0</v>
      </c>
      <c r="C522" s="328"/>
      <c r="D522" s="328"/>
      <c r="E522" s="328"/>
    </row>
    <row r="523" spans="1:5">
      <c r="A523" t="s">
        <v>1173</v>
      </c>
      <c r="B523" s="328">
        <v>1</v>
      </c>
      <c r="C523" s="328"/>
      <c r="D523" s="328"/>
      <c r="E523" s="328"/>
    </row>
    <row r="524" spans="1:5">
      <c r="A524" t="s">
        <v>1174</v>
      </c>
      <c r="B524" s="328">
        <v>1</v>
      </c>
      <c r="C524" s="328"/>
      <c r="D524" s="328"/>
      <c r="E524" s="328"/>
    </row>
    <row r="525" spans="1:5">
      <c r="A525" t="s">
        <v>1175</v>
      </c>
      <c r="B525" s="328">
        <v>1</v>
      </c>
      <c r="C525" s="174">
        <v>45491</v>
      </c>
      <c r="D525" s="174">
        <v>45495</v>
      </c>
      <c r="E525" s="174">
        <v>45495</v>
      </c>
    </row>
    <row r="526" spans="1:5">
      <c r="A526" t="s">
        <v>1176</v>
      </c>
      <c r="B526" s="328">
        <v>1</v>
      </c>
      <c r="C526" s="328"/>
      <c r="D526" s="328"/>
      <c r="E526" s="328"/>
    </row>
    <row r="527" spans="1:5">
      <c r="A527" t="s">
        <v>1177</v>
      </c>
      <c r="B527" s="328">
        <v>1</v>
      </c>
      <c r="C527" s="328"/>
      <c r="D527" s="328"/>
      <c r="E527" s="328"/>
    </row>
    <row r="528" spans="1:5">
      <c r="A528" t="s">
        <v>1178</v>
      </c>
      <c r="B528" s="328">
        <v>1</v>
      </c>
      <c r="C528" s="174">
        <v>45491</v>
      </c>
      <c r="D528" s="174">
        <v>45495</v>
      </c>
      <c r="E528" s="174">
        <v>45495</v>
      </c>
    </row>
    <row r="529" spans="1:5">
      <c r="A529" t="s">
        <v>1179</v>
      </c>
      <c r="B529" s="328">
        <v>1</v>
      </c>
      <c r="C529" s="328"/>
      <c r="D529" s="328"/>
      <c r="E529" s="328"/>
    </row>
    <row r="530" spans="1:5">
      <c r="A530" t="s">
        <v>1180</v>
      </c>
      <c r="B530" s="328">
        <v>1</v>
      </c>
      <c r="C530" s="328"/>
      <c r="D530" s="328"/>
      <c r="E530" s="328"/>
    </row>
    <row r="531" spans="1:5">
      <c r="A531" t="s">
        <v>1181</v>
      </c>
      <c r="B531" s="328">
        <v>1</v>
      </c>
      <c r="C531" s="328"/>
      <c r="D531" s="328"/>
      <c r="E531" s="328"/>
    </row>
    <row r="532" spans="1:5">
      <c r="A532" t="s">
        <v>1182</v>
      </c>
      <c r="B532" s="328">
        <v>1</v>
      </c>
      <c r="C532" s="328"/>
      <c r="D532" s="328"/>
      <c r="E532" s="328"/>
    </row>
    <row r="533" spans="1:5">
      <c r="A533" t="s">
        <v>1183</v>
      </c>
      <c r="B533" s="328">
        <v>1</v>
      </c>
      <c r="C533" s="328"/>
      <c r="D533" s="328"/>
      <c r="E533" s="328"/>
    </row>
    <row r="534" spans="1:5">
      <c r="A534" t="s">
        <v>1184</v>
      </c>
      <c r="B534" s="328">
        <v>1</v>
      </c>
      <c r="C534" s="328"/>
      <c r="D534" s="328"/>
      <c r="E534" s="328"/>
    </row>
    <row r="535" spans="1:5">
      <c r="A535" t="s">
        <v>1185</v>
      </c>
      <c r="B535" s="328">
        <v>1</v>
      </c>
      <c r="C535" s="328"/>
      <c r="D535" s="328"/>
      <c r="E535" s="328"/>
    </row>
    <row r="536" spans="1:5">
      <c r="A536" t="s">
        <v>1186</v>
      </c>
      <c r="B536" s="328">
        <v>1</v>
      </c>
      <c r="C536" s="328"/>
      <c r="D536" s="328"/>
      <c r="E536" s="328"/>
    </row>
    <row r="537" spans="1:5">
      <c r="A537" t="s">
        <v>1187</v>
      </c>
      <c r="B537" s="328">
        <v>1</v>
      </c>
      <c r="C537" s="328"/>
      <c r="D537" s="328"/>
      <c r="E537" s="328"/>
    </row>
    <row r="538" spans="1:5">
      <c r="A538" t="s">
        <v>1188</v>
      </c>
      <c r="B538" s="328">
        <v>0</v>
      </c>
      <c r="C538" s="328"/>
      <c r="D538" s="328"/>
      <c r="E538" s="328"/>
    </row>
    <row r="539" spans="1:5">
      <c r="A539" t="s">
        <v>1189</v>
      </c>
      <c r="B539" s="328">
        <v>1</v>
      </c>
      <c r="C539" s="328"/>
      <c r="D539" s="328"/>
      <c r="E539" s="328"/>
    </row>
    <row r="540" spans="1:5">
      <c r="A540" t="s">
        <v>1190</v>
      </c>
      <c r="B540" s="328">
        <v>1</v>
      </c>
      <c r="C540" s="328"/>
      <c r="D540" s="328"/>
      <c r="E540" s="328"/>
    </row>
    <row r="541" spans="1:5">
      <c r="A541" t="s">
        <v>1191</v>
      </c>
      <c r="B541" s="328">
        <v>1</v>
      </c>
      <c r="C541" s="328"/>
      <c r="D541" s="328"/>
      <c r="E541" s="328"/>
    </row>
    <row r="542" spans="1:5">
      <c r="A542" t="s">
        <v>1192</v>
      </c>
      <c r="B542" s="328">
        <v>1</v>
      </c>
      <c r="C542" s="328"/>
      <c r="D542" s="328"/>
      <c r="E542" s="328"/>
    </row>
    <row r="543" spans="1:5">
      <c r="A543" t="s">
        <v>1193</v>
      </c>
      <c r="B543" s="328">
        <v>1</v>
      </c>
      <c r="C543" s="328"/>
      <c r="D543" s="328"/>
      <c r="E543" s="328"/>
    </row>
    <row r="544" spans="1:5">
      <c r="A544" t="s">
        <v>1194</v>
      </c>
      <c r="B544" s="328">
        <v>1</v>
      </c>
      <c r="C544" s="328"/>
      <c r="D544" s="328"/>
      <c r="E544" s="328"/>
    </row>
    <row r="545" spans="1:5">
      <c r="A545" t="s">
        <v>1195</v>
      </c>
      <c r="B545" s="328">
        <v>1</v>
      </c>
      <c r="C545" s="328"/>
      <c r="D545" s="328"/>
      <c r="E545" s="328"/>
    </row>
    <row r="546" spans="1:5">
      <c r="A546" t="s">
        <v>1196</v>
      </c>
      <c r="B546" s="328">
        <v>1</v>
      </c>
      <c r="C546" s="328"/>
      <c r="D546" s="328"/>
      <c r="E546" s="328"/>
    </row>
    <row r="547" spans="1:5">
      <c r="A547" t="s">
        <v>1197</v>
      </c>
      <c r="B547" s="328">
        <v>1</v>
      </c>
      <c r="C547" s="328"/>
      <c r="D547" s="328"/>
      <c r="E547" s="328"/>
    </row>
    <row r="548" spans="1:5">
      <c r="A548" t="s">
        <v>1198</v>
      </c>
      <c r="B548" s="328">
        <v>1</v>
      </c>
      <c r="C548" s="328"/>
      <c r="D548" s="328"/>
      <c r="E548" s="328"/>
    </row>
    <row r="549" spans="1:5">
      <c r="A549" t="s">
        <v>1199</v>
      </c>
      <c r="B549" s="328">
        <v>1</v>
      </c>
      <c r="C549" s="328"/>
      <c r="D549" s="328"/>
      <c r="E549" s="328"/>
    </row>
    <row r="550" spans="1:5">
      <c r="A550" t="s">
        <v>1200</v>
      </c>
      <c r="B550" s="328">
        <v>1</v>
      </c>
      <c r="C550" s="328"/>
      <c r="D550" s="328"/>
      <c r="E550" s="328"/>
    </row>
    <row r="551" spans="1:5">
      <c r="A551" t="s">
        <v>1201</v>
      </c>
      <c r="B551" s="328">
        <v>1</v>
      </c>
      <c r="C551" s="328"/>
      <c r="D551" s="328"/>
      <c r="E551" s="328"/>
    </row>
    <row r="552" spans="1:5">
      <c r="A552" t="s">
        <v>1202</v>
      </c>
      <c r="B552" s="328">
        <v>1</v>
      </c>
      <c r="C552" s="328"/>
      <c r="D552" s="328"/>
      <c r="E552" s="328"/>
    </row>
    <row r="553" spans="1:5">
      <c r="A553" t="s">
        <v>1203</v>
      </c>
      <c r="B553" s="328">
        <v>0</v>
      </c>
      <c r="C553" s="328"/>
      <c r="D553" s="328"/>
      <c r="E553" s="328"/>
    </row>
    <row r="554" spans="1:5">
      <c r="A554" t="s">
        <v>1204</v>
      </c>
      <c r="B554" s="328">
        <v>1</v>
      </c>
      <c r="C554" s="328"/>
      <c r="D554" s="328"/>
      <c r="E554" s="328"/>
    </row>
    <row r="555" spans="1:5">
      <c r="A555" t="s">
        <v>1205</v>
      </c>
      <c r="B555" s="328">
        <v>1</v>
      </c>
      <c r="C555" s="328"/>
      <c r="D555" s="328"/>
      <c r="E555" s="328"/>
    </row>
    <row r="556" spans="1:5">
      <c r="A556" t="s">
        <v>1206</v>
      </c>
      <c r="B556" s="328">
        <v>1</v>
      </c>
      <c r="C556" s="328"/>
      <c r="D556" s="328"/>
      <c r="E556" s="328"/>
    </row>
    <row r="557" spans="1:5">
      <c r="A557" t="s">
        <v>1207</v>
      </c>
      <c r="B557" s="328">
        <v>0</v>
      </c>
      <c r="C557" s="328"/>
      <c r="D557" s="328"/>
      <c r="E557" s="328"/>
    </row>
    <row r="558" spans="1:5">
      <c r="A558" t="s">
        <v>1208</v>
      </c>
      <c r="B558" s="328">
        <v>1</v>
      </c>
      <c r="C558" s="328"/>
      <c r="D558" s="328"/>
      <c r="E558" s="328"/>
    </row>
    <row r="559" spans="1:5">
      <c r="A559" t="s">
        <v>1209</v>
      </c>
      <c r="B559" s="328">
        <v>1</v>
      </c>
      <c r="C559" s="328"/>
      <c r="D559" s="328"/>
      <c r="E559" s="328"/>
    </row>
    <row r="560" spans="1:5">
      <c r="A560" t="s">
        <v>1210</v>
      </c>
      <c r="B560" s="328">
        <v>0</v>
      </c>
      <c r="C560" s="328"/>
      <c r="D560" s="328"/>
      <c r="E560" s="328"/>
    </row>
    <row r="561" spans="1:5">
      <c r="A561" t="s">
        <v>1211</v>
      </c>
      <c r="B561" s="328">
        <v>1</v>
      </c>
      <c r="C561" s="328"/>
      <c r="D561" s="328"/>
      <c r="E561" s="328"/>
    </row>
    <row r="562" spans="1:5">
      <c r="A562" t="s">
        <v>1212</v>
      </c>
      <c r="B562" s="328">
        <v>1</v>
      </c>
      <c r="C562" s="328"/>
      <c r="D562" s="328"/>
      <c r="E562" s="328"/>
    </row>
    <row r="563" spans="1:5">
      <c r="A563" t="s">
        <v>1213</v>
      </c>
      <c r="B563" s="328">
        <v>1</v>
      </c>
      <c r="C563" s="328"/>
      <c r="D563" s="328"/>
      <c r="E563" s="328"/>
    </row>
    <row r="564" spans="1:5">
      <c r="A564" t="s">
        <v>1214</v>
      </c>
      <c r="B564" s="328">
        <v>1</v>
      </c>
      <c r="C564" s="328"/>
      <c r="D564" s="328"/>
      <c r="E564" s="328"/>
    </row>
    <row r="565" spans="1:5">
      <c r="A565" t="s">
        <v>1215</v>
      </c>
      <c r="B565" s="328">
        <v>1</v>
      </c>
      <c r="C565" s="328"/>
      <c r="D565" s="328"/>
      <c r="E565" s="328"/>
    </row>
    <row r="566" spans="1:5">
      <c r="A566" t="s">
        <v>1216</v>
      </c>
      <c r="B566" s="328">
        <v>1</v>
      </c>
      <c r="C566" s="328"/>
      <c r="D566" s="328"/>
      <c r="E566" s="328"/>
    </row>
    <row r="567" spans="1:5">
      <c r="A567" t="s">
        <v>1217</v>
      </c>
      <c r="B567" s="328">
        <v>1</v>
      </c>
      <c r="C567" s="328"/>
      <c r="D567" s="328"/>
      <c r="E567" s="328"/>
    </row>
    <row r="568" spans="1:5">
      <c r="A568" t="s">
        <v>1218</v>
      </c>
      <c r="B568" s="328">
        <v>1</v>
      </c>
      <c r="C568" s="328"/>
      <c r="D568" s="328"/>
      <c r="E568" s="328"/>
    </row>
    <row r="569" spans="1:5">
      <c r="A569" t="s">
        <v>1219</v>
      </c>
      <c r="B569" s="328">
        <v>1</v>
      </c>
      <c r="C569" s="328"/>
      <c r="D569" s="328"/>
      <c r="E569" s="328"/>
    </row>
    <row r="570" spans="1:5">
      <c r="A570" t="s">
        <v>1220</v>
      </c>
      <c r="B570" s="328">
        <v>1</v>
      </c>
      <c r="C570" s="328"/>
      <c r="D570" s="328"/>
      <c r="E570" s="328"/>
    </row>
    <row r="571" spans="1:5">
      <c r="A571" t="s">
        <v>1221</v>
      </c>
      <c r="B571" s="328">
        <v>1</v>
      </c>
      <c r="C571" s="328"/>
      <c r="D571" s="328"/>
      <c r="E571" s="328"/>
    </row>
    <row r="572" spans="1:5">
      <c r="A572" t="s">
        <v>1222</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35.09765625" customWidth="1"/>
    <col min="3" max="3" width="15.699218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1" ht="22.2">
      <c r="B2" s="127" t="s">
        <v>2022</v>
      </c>
    </row>
    <row r="3" spans="2:11" ht="17.399999999999999" customHeight="1">
      <c r="B3" s="346"/>
    </row>
    <row r="6" spans="2:11" ht="18" customHeight="1">
      <c r="B6" s="50" t="s">
        <v>8</v>
      </c>
      <c r="C6" t="s">
        <v>26</v>
      </c>
    </row>
    <row r="7" spans="2:11">
      <c r="B7" s="50" t="s">
        <v>10</v>
      </c>
      <c r="C7" t="s">
        <v>40</v>
      </c>
    </row>
    <row r="9" spans="2:11">
      <c r="B9" s="50" t="s">
        <v>1224</v>
      </c>
      <c r="C9" s="50" t="s">
        <v>1225</v>
      </c>
    </row>
    <row r="10" spans="2:11">
      <c r="B10" s="50" t="s">
        <v>1226</v>
      </c>
      <c r="C10" t="s">
        <v>612</v>
      </c>
      <c r="D10" t="s">
        <v>613</v>
      </c>
      <c r="E10" t="s">
        <v>1921</v>
      </c>
      <c r="F10" t="s">
        <v>614</v>
      </c>
      <c r="G10" t="s">
        <v>615</v>
      </c>
      <c r="H10" t="s">
        <v>616</v>
      </c>
      <c r="I10" t="s">
        <v>618</v>
      </c>
      <c r="J10" t="s">
        <v>1922</v>
      </c>
      <c r="K10" t="s">
        <v>1222</v>
      </c>
    </row>
    <row r="11" spans="2:11">
      <c r="B11" s="51" t="s">
        <v>27</v>
      </c>
      <c r="C11" s="328">
        <v>10</v>
      </c>
      <c r="D11" s="328">
        <v>147</v>
      </c>
      <c r="E11" s="328"/>
      <c r="F11" s="328"/>
      <c r="G11" s="328">
        <v>12</v>
      </c>
      <c r="H11" s="328"/>
      <c r="I11" s="328"/>
      <c r="J11" s="328"/>
      <c r="K11" s="328">
        <v>169</v>
      </c>
    </row>
    <row r="12" spans="2:11">
      <c r="B12" s="51" t="s">
        <v>29</v>
      </c>
      <c r="C12" s="328">
        <v>14</v>
      </c>
      <c r="D12" s="328">
        <v>204</v>
      </c>
      <c r="E12" s="328">
        <v>3</v>
      </c>
      <c r="F12" s="328"/>
      <c r="G12" s="328">
        <v>1</v>
      </c>
      <c r="H12" s="328"/>
      <c r="I12" s="328">
        <v>6</v>
      </c>
      <c r="J12" s="328">
        <v>17</v>
      </c>
      <c r="K12" s="328">
        <v>245</v>
      </c>
    </row>
    <row r="13" spans="2:11">
      <c r="B13" s="51" t="s">
        <v>26</v>
      </c>
      <c r="C13" s="328"/>
      <c r="D13" s="328">
        <v>119</v>
      </c>
      <c r="E13" s="328">
        <v>3</v>
      </c>
      <c r="F13" s="328">
        <v>10</v>
      </c>
      <c r="G13" s="328">
        <v>2</v>
      </c>
      <c r="H13" s="328">
        <v>1</v>
      </c>
      <c r="I13" s="328"/>
      <c r="J13" s="328"/>
      <c r="K13" s="328">
        <v>135</v>
      </c>
    </row>
    <row r="14" spans="2:11">
      <c r="B14" s="51" t="s">
        <v>1222</v>
      </c>
      <c r="C14" s="328">
        <v>24</v>
      </c>
      <c r="D14" s="328">
        <v>470</v>
      </c>
      <c r="E14" s="328">
        <v>6</v>
      </c>
      <c r="F14" s="328">
        <v>10</v>
      </c>
      <c r="G14" s="328">
        <v>15</v>
      </c>
      <c r="H14" s="328">
        <v>1</v>
      </c>
      <c r="I14" s="328">
        <v>6</v>
      </c>
      <c r="J14" s="328">
        <v>17</v>
      </c>
      <c r="K14" s="328">
        <v>549</v>
      </c>
    </row>
    <row r="18" spans="2:10">
      <c r="B18" s="51"/>
      <c r="C18" s="328"/>
      <c r="D18" s="328"/>
      <c r="E18" s="328"/>
      <c r="F18" s="328"/>
      <c r="G18" s="328"/>
      <c r="H18" s="328"/>
      <c r="I18" s="328"/>
      <c r="J18" s="328"/>
    </row>
    <row r="19" spans="2:10">
      <c r="B19" s="50" t="s">
        <v>8</v>
      </c>
      <c r="C19" t="s">
        <v>26</v>
      </c>
    </row>
    <row r="20" spans="2:10">
      <c r="B20" s="50" t="s">
        <v>2028</v>
      </c>
      <c r="C20" t="s">
        <v>2027</v>
      </c>
    </row>
    <row r="21" spans="2:10">
      <c r="B21" s="50" t="s">
        <v>10</v>
      </c>
      <c r="C21" t="s">
        <v>40</v>
      </c>
    </row>
    <row r="23" spans="2:10">
      <c r="B23" s="50" t="s">
        <v>1226</v>
      </c>
      <c r="C23" t="s">
        <v>1224</v>
      </c>
    </row>
    <row r="24" spans="2:10">
      <c r="B24" s="51" t="s">
        <v>612</v>
      </c>
      <c r="C24" s="328">
        <v>24</v>
      </c>
    </row>
    <row r="25" spans="2:10">
      <c r="B25" s="51" t="s">
        <v>613</v>
      </c>
      <c r="C25" s="328">
        <v>470</v>
      </c>
    </row>
    <row r="26" spans="2:10">
      <c r="B26" s="51" t="s">
        <v>1921</v>
      </c>
      <c r="C26" s="328">
        <v>6</v>
      </c>
    </row>
    <row r="27" spans="2:10">
      <c r="B27" s="51" t="s">
        <v>614</v>
      </c>
      <c r="C27" s="328">
        <v>10</v>
      </c>
    </row>
    <row r="28" spans="2:10">
      <c r="B28" s="51" t="s">
        <v>615</v>
      </c>
      <c r="C28" s="328">
        <v>15</v>
      </c>
    </row>
    <row r="29" spans="2:10">
      <c r="B29" s="51" t="s">
        <v>616</v>
      </c>
      <c r="C29" s="328">
        <v>1</v>
      </c>
    </row>
    <row r="30" spans="2:10">
      <c r="B30" s="51" t="s">
        <v>618</v>
      </c>
      <c r="C30" s="328">
        <v>6</v>
      </c>
    </row>
    <row r="31" spans="2:10">
      <c r="B31" s="51" t="s">
        <v>1922</v>
      </c>
      <c r="C31" s="328">
        <v>17</v>
      </c>
    </row>
    <row r="32" spans="2:10">
      <c r="B32" s="51" t="s">
        <v>1222</v>
      </c>
      <c r="C32" s="328">
        <v>549</v>
      </c>
    </row>
    <row r="40" spans="2:12">
      <c r="B40" s="345"/>
      <c r="C40" s="345"/>
      <c r="D40" s="345"/>
    </row>
    <row r="41" spans="2:12">
      <c r="B41" s="345"/>
      <c r="C41" s="345"/>
      <c r="D41" s="345"/>
    </row>
    <row r="42" spans="2:12" ht="22.2">
      <c r="B42" s="127" t="s">
        <v>2023</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615</v>
      </c>
      <c r="F50" t="s">
        <v>1222</v>
      </c>
    </row>
    <row r="51" spans="2:6">
      <c r="B51" s="51" t="s">
        <v>74</v>
      </c>
      <c r="C51" s="328">
        <v>3</v>
      </c>
      <c r="D51" s="328">
        <v>17</v>
      </c>
      <c r="E51" s="328"/>
      <c r="F51" s="328">
        <v>20</v>
      </c>
    </row>
    <row r="52" spans="2:6">
      <c r="B52" s="51" t="s">
        <v>123</v>
      </c>
      <c r="C52" s="328"/>
      <c r="D52" s="328">
        <v>72</v>
      </c>
      <c r="E52" s="328"/>
      <c r="F52" s="328">
        <v>72</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147</v>
      </c>
      <c r="E57" s="328">
        <v>12</v>
      </c>
      <c r="F57" s="328">
        <v>169</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147</v>
      </c>
    </row>
    <row r="69" spans="2:3">
      <c r="B69" s="51" t="s">
        <v>615</v>
      </c>
      <c r="C69" s="328">
        <v>12</v>
      </c>
    </row>
    <row r="70" spans="2:3">
      <c r="B70" s="51" t="s">
        <v>1222</v>
      </c>
      <c r="C70" s="328">
        <v>169</v>
      </c>
    </row>
    <row r="81" spans="2:16" ht="22.2">
      <c r="B81" s="127" t="s">
        <v>2024</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1921</v>
      </c>
      <c r="F88" t="s">
        <v>1922</v>
      </c>
      <c r="G88" t="s">
        <v>615</v>
      </c>
      <c r="H88" t="s">
        <v>618</v>
      </c>
      <c r="I88" t="s">
        <v>1222</v>
      </c>
    </row>
    <row r="89" spans="2:16">
      <c r="B89" s="51" t="s">
        <v>182</v>
      </c>
      <c r="C89" s="328">
        <v>2</v>
      </c>
      <c r="D89" s="328">
        <v>27</v>
      </c>
      <c r="E89" s="328"/>
      <c r="F89" s="328"/>
      <c r="G89" s="328">
        <v>1</v>
      </c>
      <c r="H89" s="328"/>
      <c r="I89" s="328">
        <v>30</v>
      </c>
    </row>
    <row r="90" spans="2:16">
      <c r="B90" s="51" t="s">
        <v>334</v>
      </c>
      <c r="C90" s="328">
        <v>1</v>
      </c>
      <c r="D90" s="328">
        <v>1</v>
      </c>
      <c r="E90" s="328"/>
      <c r="F90" s="328">
        <v>12</v>
      </c>
      <c r="G90" s="328"/>
      <c r="H90" s="328"/>
      <c r="I90" s="328">
        <v>14</v>
      </c>
    </row>
    <row r="91" spans="2:16">
      <c r="B91" s="51" t="s">
        <v>332</v>
      </c>
      <c r="C91" s="328"/>
      <c r="D91" s="328">
        <v>15</v>
      </c>
      <c r="E91" s="328"/>
      <c r="F91" s="328"/>
      <c r="G91" s="328"/>
      <c r="H91" s="328"/>
      <c r="I91" s="328">
        <v>15</v>
      </c>
    </row>
    <row r="92" spans="2:16">
      <c r="B92" s="51" t="s">
        <v>326</v>
      </c>
      <c r="C92" s="328"/>
      <c r="D92" s="328">
        <v>22</v>
      </c>
      <c r="E92" s="328">
        <v>3</v>
      </c>
      <c r="F92" s="328">
        <v>1</v>
      </c>
      <c r="G92" s="328"/>
      <c r="H92" s="328">
        <v>6</v>
      </c>
      <c r="I92" s="328">
        <v>32</v>
      </c>
    </row>
    <row r="93" spans="2:16">
      <c r="B93" s="51" t="s">
        <v>312</v>
      </c>
      <c r="C93" s="328"/>
      <c r="D93" s="328">
        <v>14</v>
      </c>
      <c r="E93" s="328"/>
      <c r="F93" s="328">
        <v>4</v>
      </c>
      <c r="G93" s="328"/>
      <c r="H93" s="328"/>
      <c r="I93" s="328">
        <v>18</v>
      </c>
    </row>
    <row r="94" spans="2:16">
      <c r="B94" s="51" t="s">
        <v>217</v>
      </c>
      <c r="C94" s="328"/>
      <c r="D94" s="328">
        <v>6</v>
      </c>
      <c r="E94" s="328"/>
      <c r="F94" s="328"/>
      <c r="G94" s="328"/>
      <c r="H94" s="328"/>
      <c r="I94" s="328">
        <v>6</v>
      </c>
    </row>
    <row r="95" spans="2:16">
      <c r="B95" s="51" t="s">
        <v>216</v>
      </c>
      <c r="C95" s="328"/>
      <c r="D95" s="328">
        <v>41</v>
      </c>
      <c r="E95" s="328"/>
      <c r="F95" s="328"/>
      <c r="G95" s="328"/>
      <c r="H95" s="328"/>
      <c r="I95" s="328">
        <v>41</v>
      </c>
    </row>
    <row r="96" spans="2:16">
      <c r="B96" s="51" t="s">
        <v>214</v>
      </c>
      <c r="C96" s="328">
        <v>3</v>
      </c>
      <c r="D96" s="328">
        <v>6</v>
      </c>
      <c r="E96" s="328"/>
      <c r="F96" s="328"/>
      <c r="G96" s="328"/>
      <c r="H96" s="328"/>
      <c r="I96" s="328">
        <v>9</v>
      </c>
    </row>
    <row r="97" spans="2:9">
      <c r="B97" s="51" t="s">
        <v>213</v>
      </c>
      <c r="C97" s="328"/>
      <c r="D97" s="328">
        <v>17</v>
      </c>
      <c r="E97" s="328"/>
      <c r="F97" s="328"/>
      <c r="G97" s="328"/>
      <c r="H97" s="328"/>
      <c r="I97" s="328">
        <v>17</v>
      </c>
    </row>
    <row r="98" spans="2:9">
      <c r="B98" s="51" t="s">
        <v>218</v>
      </c>
      <c r="C98" s="328"/>
      <c r="D98" s="328">
        <v>17</v>
      </c>
      <c r="E98" s="328"/>
      <c r="F98" s="328"/>
      <c r="G98" s="328"/>
      <c r="H98" s="328"/>
      <c r="I98" s="328">
        <v>17</v>
      </c>
    </row>
    <row r="99" spans="2:9">
      <c r="B99" s="51" t="s">
        <v>219</v>
      </c>
      <c r="C99" s="328">
        <v>7</v>
      </c>
      <c r="D99" s="328">
        <v>14</v>
      </c>
      <c r="E99" s="328"/>
      <c r="F99" s="328"/>
      <c r="G99" s="328"/>
      <c r="H99" s="328"/>
      <c r="I99" s="328">
        <v>21</v>
      </c>
    </row>
    <row r="100" spans="2:9">
      <c r="B100" s="51" t="s">
        <v>220</v>
      </c>
      <c r="C100" s="328">
        <v>1</v>
      </c>
      <c r="D100" s="328">
        <v>17</v>
      </c>
      <c r="E100" s="328"/>
      <c r="F100" s="328"/>
      <c r="G100" s="328"/>
      <c r="H100" s="328"/>
      <c r="I100" s="328">
        <v>18</v>
      </c>
    </row>
    <row r="101" spans="2:9">
      <c r="B101" s="51" t="s">
        <v>215</v>
      </c>
      <c r="C101" s="328"/>
      <c r="D101" s="328">
        <v>7</v>
      </c>
      <c r="E101" s="328"/>
      <c r="F101" s="328"/>
      <c r="G101" s="328"/>
      <c r="H101" s="328"/>
      <c r="I101" s="328">
        <v>7</v>
      </c>
    </row>
    <row r="102" spans="2:9">
      <c r="B102" s="51" t="s">
        <v>1222</v>
      </c>
      <c r="C102" s="328">
        <v>14</v>
      </c>
      <c r="D102" s="328">
        <v>204</v>
      </c>
      <c r="E102" s="328">
        <v>3</v>
      </c>
      <c r="F102" s="328">
        <v>17</v>
      </c>
      <c r="G102" s="328">
        <v>1</v>
      </c>
      <c r="H102" s="328">
        <v>6</v>
      </c>
      <c r="I102" s="328">
        <v>245</v>
      </c>
    </row>
    <row r="107" spans="2:9">
      <c r="B107" s="50" t="s">
        <v>8</v>
      </c>
      <c r="C107" t="s" vm="1">
        <v>26</v>
      </c>
    </row>
    <row r="108" spans="2:9">
      <c r="B108" s="50" t="s">
        <v>9</v>
      </c>
      <c r="C108" t="s" vm="4">
        <v>1223</v>
      </c>
    </row>
    <row r="109" spans="2:9">
      <c r="B109" s="50" t="s">
        <v>10</v>
      </c>
      <c r="C109" t="s" vm="3">
        <v>40</v>
      </c>
    </row>
    <row r="111" spans="2:9">
      <c r="B111" s="50" t="s">
        <v>1226</v>
      </c>
      <c r="C111" t="s">
        <v>1224</v>
      </c>
    </row>
    <row r="112" spans="2:9">
      <c r="B112" s="51" t="s">
        <v>612</v>
      </c>
      <c r="C112" s="328">
        <v>14</v>
      </c>
    </row>
    <row r="113" spans="2:16">
      <c r="B113" s="51" t="s">
        <v>613</v>
      </c>
      <c r="C113" s="328">
        <v>204</v>
      </c>
    </row>
    <row r="114" spans="2:16">
      <c r="B114" s="51" t="s">
        <v>1921</v>
      </c>
      <c r="C114" s="328">
        <v>3</v>
      </c>
    </row>
    <row r="115" spans="2:16">
      <c r="B115" s="51" t="s">
        <v>1922</v>
      </c>
      <c r="C115" s="328">
        <v>17</v>
      </c>
    </row>
    <row r="116" spans="2:16">
      <c r="B116" s="51" t="s">
        <v>615</v>
      </c>
      <c r="C116" s="328">
        <v>1</v>
      </c>
    </row>
    <row r="117" spans="2:16">
      <c r="B117" s="51" t="s">
        <v>618</v>
      </c>
      <c r="C117" s="328">
        <v>6</v>
      </c>
    </row>
    <row r="118" spans="2:16">
      <c r="B118" s="51" t="s">
        <v>1222</v>
      </c>
      <c r="C118" s="328">
        <v>245</v>
      </c>
    </row>
    <row r="126" spans="2:16" ht="22.2">
      <c r="B126" s="127" t="s">
        <v>2025</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613</v>
      </c>
      <c r="D134" t="s">
        <v>1921</v>
      </c>
      <c r="E134" t="s">
        <v>614</v>
      </c>
      <c r="F134" t="s">
        <v>615</v>
      </c>
      <c r="G134" t="s">
        <v>616</v>
      </c>
      <c r="H134" t="s">
        <v>1222</v>
      </c>
    </row>
    <row r="135" spans="2:8">
      <c r="B135" s="51" t="s">
        <v>380</v>
      </c>
      <c r="C135" s="328">
        <v>23</v>
      </c>
      <c r="D135" s="328">
        <v>3</v>
      </c>
      <c r="E135" s="328">
        <v>3</v>
      </c>
      <c r="F135" s="328">
        <v>1</v>
      </c>
      <c r="G135" s="328"/>
      <c r="H135" s="328">
        <v>30</v>
      </c>
    </row>
    <row r="136" spans="2:8">
      <c r="B136" s="51" t="s">
        <v>336</v>
      </c>
      <c r="C136" s="328">
        <v>36</v>
      </c>
      <c r="D136" s="328"/>
      <c r="E136" s="328">
        <v>7</v>
      </c>
      <c r="F136" s="328"/>
      <c r="G136" s="328"/>
      <c r="H136" s="328">
        <v>43</v>
      </c>
    </row>
    <row r="137" spans="2:8">
      <c r="B137" s="51" t="s">
        <v>369</v>
      </c>
      <c r="C137" s="328">
        <v>23</v>
      </c>
      <c r="D137" s="328"/>
      <c r="E137" s="328"/>
      <c r="F137" s="328"/>
      <c r="G137" s="328">
        <v>1</v>
      </c>
      <c r="H137" s="328">
        <v>24</v>
      </c>
    </row>
    <row r="138" spans="2:8">
      <c r="B138" s="51" t="s">
        <v>440</v>
      </c>
      <c r="C138" s="328">
        <v>5</v>
      </c>
      <c r="D138" s="328"/>
      <c r="E138" s="328"/>
      <c r="F138" s="328"/>
      <c r="G138" s="328"/>
      <c r="H138" s="328">
        <v>5</v>
      </c>
    </row>
    <row r="139" spans="2:8">
      <c r="B139" s="51" t="s">
        <v>442</v>
      </c>
      <c r="C139" s="328">
        <v>5</v>
      </c>
      <c r="D139" s="328"/>
      <c r="E139" s="328"/>
      <c r="F139" s="328"/>
      <c r="G139" s="328"/>
      <c r="H139" s="328">
        <v>5</v>
      </c>
    </row>
    <row r="140" spans="2:8">
      <c r="B140" s="51" t="s">
        <v>1948</v>
      </c>
      <c r="C140" s="328">
        <v>3</v>
      </c>
      <c r="D140" s="328"/>
      <c r="E140" s="328"/>
      <c r="F140" s="328">
        <v>1</v>
      </c>
      <c r="G140" s="328"/>
      <c r="H140" s="328">
        <v>4</v>
      </c>
    </row>
    <row r="141" spans="2:8">
      <c r="B141" s="51" t="s">
        <v>393</v>
      </c>
      <c r="C141" s="328">
        <v>9</v>
      </c>
      <c r="D141" s="328"/>
      <c r="E141" s="328"/>
      <c r="F141" s="328"/>
      <c r="G141" s="328"/>
      <c r="H141" s="328">
        <v>9</v>
      </c>
    </row>
    <row r="142" spans="2:8">
      <c r="B142" s="51" t="s">
        <v>1949</v>
      </c>
      <c r="C142" s="328">
        <v>15</v>
      </c>
      <c r="D142" s="328"/>
      <c r="E142" s="328"/>
      <c r="F142" s="328"/>
      <c r="G142" s="328"/>
      <c r="H142" s="328">
        <v>15</v>
      </c>
    </row>
    <row r="143" spans="2:8">
      <c r="B143" s="51" t="s">
        <v>1222</v>
      </c>
      <c r="C143" s="328">
        <v>119</v>
      </c>
      <c r="D143" s="328">
        <v>3</v>
      </c>
      <c r="E143" s="328">
        <v>10</v>
      </c>
      <c r="F143" s="328">
        <v>2</v>
      </c>
      <c r="G143" s="328">
        <v>1</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119</v>
      </c>
    </row>
    <row r="156" spans="2:3">
      <c r="B156" s="51" t="s">
        <v>1921</v>
      </c>
      <c r="C156" s="328">
        <v>3</v>
      </c>
    </row>
    <row r="157" spans="2:3">
      <c r="B157" s="51" t="s">
        <v>616</v>
      </c>
      <c r="C157" s="328">
        <v>1</v>
      </c>
    </row>
    <row r="158" spans="2:3">
      <c r="B158" s="51" t="s">
        <v>615</v>
      </c>
      <c r="C158" s="328">
        <v>2</v>
      </c>
    </row>
    <row r="159" spans="2:3">
      <c r="B159" s="51" t="s">
        <v>614</v>
      </c>
      <c r="C159" s="328">
        <v>10</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H5" zoomScale="70" zoomScaleNormal="70" workbookViewId="0">
      <selection activeCell="N506" sqref="N506:N516"/>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615</v>
      </c>
      <c r="J9" s="43">
        <f>VLOOKUP(Table1[[#This Row],[Status]],Auxiliar!$B$16:$C$24,2,0)</f>
        <v>5</v>
      </c>
      <c r="K9" s="2" t="s">
        <v>1243</v>
      </c>
      <c r="L9" s="2" t="s">
        <v>1252</v>
      </c>
      <c r="M9" s="21" t="s">
        <v>1253</v>
      </c>
      <c r="N9" s="48">
        <v>45667</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615</v>
      </c>
      <c r="J10" s="43">
        <f>VLOOKUP(Table1[[#This Row],[Status]],Auxiliar!$B$16:$C$24,2,0)</f>
        <v>5</v>
      </c>
      <c r="K10" s="2" t="s">
        <v>1249</v>
      </c>
      <c r="L10" s="29" t="s">
        <v>1244</v>
      </c>
      <c r="M10" s="21" t="s">
        <v>1253</v>
      </c>
      <c r="N10" s="48">
        <v>45667</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615</v>
      </c>
      <c r="J11" s="43">
        <f>VLOOKUP(Table1[[#This Row],[Status]],Auxiliar!$B$16:$C$24,2,0)</f>
        <v>5</v>
      </c>
      <c r="K11" s="2" t="s">
        <v>1257</v>
      </c>
      <c r="L11" s="29" t="s">
        <v>1244</v>
      </c>
      <c r="M11" s="21" t="s">
        <v>1253</v>
      </c>
      <c r="N11" s="48">
        <v>45667</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615</v>
      </c>
      <c r="J12" s="43">
        <f>VLOOKUP(Table1[[#This Row],[Status]],Auxiliar!$B$16:$C$24,2,0)</f>
        <v>5</v>
      </c>
      <c r="K12" s="2" t="s">
        <v>1249</v>
      </c>
      <c r="L12" s="29" t="s">
        <v>1244</v>
      </c>
      <c r="M12" s="21" t="s">
        <v>1253</v>
      </c>
      <c r="N12" s="48">
        <v>45667</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615</v>
      </c>
      <c r="J13" s="43">
        <f>VLOOKUP(Table1[[#This Row],[Status]],Auxiliar!$B$16:$C$24,2,0)</f>
        <v>5</v>
      </c>
      <c r="K13" s="2" t="s">
        <v>1257</v>
      </c>
      <c r="L13" s="29" t="s">
        <v>1244</v>
      </c>
      <c r="M13" s="21" t="s">
        <v>1253</v>
      </c>
      <c r="N13" s="48">
        <v>45667</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615</v>
      </c>
      <c r="J14" s="43">
        <f>VLOOKUP(Table1[[#This Row],[Status]],Auxiliar!$B$16:$C$24,2,0)</f>
        <v>5</v>
      </c>
      <c r="K14" s="2" t="s">
        <v>1249</v>
      </c>
      <c r="L14" s="29" t="s">
        <v>1244</v>
      </c>
      <c r="M14" s="21" t="s">
        <v>1253</v>
      </c>
      <c r="N14" s="48">
        <v>45667</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615</v>
      </c>
      <c r="J15" s="43">
        <f>VLOOKUP(Table1[[#This Row],[Status]],Auxiliar!$B$16:$C$24,2,0)</f>
        <v>5</v>
      </c>
      <c r="K15" s="2" t="s">
        <v>1257</v>
      </c>
      <c r="L15" s="29" t="s">
        <v>1244</v>
      </c>
      <c r="M15" s="21" t="s">
        <v>1253</v>
      </c>
      <c r="N15" s="48">
        <v>45667</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615</v>
      </c>
      <c r="J16" s="43">
        <f>VLOOKUP(Table1[[#This Row],[Status]],Auxiliar!$B$16:$C$24,2,0)</f>
        <v>5</v>
      </c>
      <c r="K16" s="2" t="s">
        <v>1249</v>
      </c>
      <c r="L16" s="29" t="s">
        <v>1244</v>
      </c>
      <c r="M16" s="21" t="s">
        <v>1253</v>
      </c>
      <c r="N16" s="48">
        <v>45667</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615</v>
      </c>
      <c r="J17" s="43">
        <f>VLOOKUP(Table1[[#This Row],[Status]],Auxiliar!$B$16:$C$24,2,0)</f>
        <v>5</v>
      </c>
      <c r="K17" s="2" t="s">
        <v>1257</v>
      </c>
      <c r="L17" s="29" t="s">
        <v>1244</v>
      </c>
      <c r="M17" s="21" t="s">
        <v>1253</v>
      </c>
      <c r="N17" s="48">
        <v>45667</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615</v>
      </c>
      <c r="J18" s="43">
        <f>VLOOKUP(Table1[[#This Row],[Status]],Auxiliar!$B$16:$C$24,2,0)</f>
        <v>5</v>
      </c>
      <c r="K18" s="2" t="s">
        <v>1249</v>
      </c>
      <c r="L18" s="29" t="s">
        <v>1244</v>
      </c>
      <c r="M18" s="21" t="s">
        <v>1253</v>
      </c>
      <c r="N18" s="48">
        <v>45667</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615</v>
      </c>
      <c r="J19" s="43">
        <f>VLOOKUP(Table1[[#This Row],[Status]],Auxiliar!$B$16:$C$24,2,0)</f>
        <v>5</v>
      </c>
      <c r="K19" s="2" t="s">
        <v>1257</v>
      </c>
      <c r="L19" s="29" t="s">
        <v>1244</v>
      </c>
      <c r="M19" s="21" t="s">
        <v>1253</v>
      </c>
      <c r="N19" s="48">
        <v>45667</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615</v>
      </c>
      <c r="J20" s="43">
        <f>VLOOKUP(Table1[[#This Row],[Status]],Auxiliar!$B$16:$C$24,2,0)</f>
        <v>5</v>
      </c>
      <c r="K20" s="2" t="s">
        <v>1249</v>
      </c>
      <c r="L20" s="29" t="s">
        <v>1244</v>
      </c>
      <c r="M20" s="21" t="s">
        <v>1253</v>
      </c>
      <c r="N20" s="48">
        <v>45667</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615</v>
      </c>
      <c r="J21" s="43">
        <f>VLOOKUP(Table1[[#This Row],[Status]],Auxiliar!$B$16:$C$24,2,0)</f>
        <v>5</v>
      </c>
      <c r="K21" s="2" t="s">
        <v>1257</v>
      </c>
      <c r="L21" s="29" t="s">
        <v>1244</v>
      </c>
      <c r="M21" s="21" t="s">
        <v>1253</v>
      </c>
      <c r="N21" s="48">
        <v>45667</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615</v>
      </c>
      <c r="J22" s="43">
        <f>VLOOKUP(Table1[[#This Row],[Status]],Auxiliar!$B$16:$C$24,2,0)</f>
        <v>5</v>
      </c>
      <c r="K22" s="2" t="s">
        <v>1249</v>
      </c>
      <c r="L22" s="29" t="s">
        <v>1244</v>
      </c>
      <c r="M22" s="21" t="s">
        <v>1253</v>
      </c>
      <c r="N22" s="48">
        <v>45667</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615</v>
      </c>
      <c r="J23" s="43">
        <f>VLOOKUP(Table1[[#This Row],[Status]],Auxiliar!$B$16:$C$24,2,0)</f>
        <v>5</v>
      </c>
      <c r="K23" s="2" t="s">
        <v>1257</v>
      </c>
      <c r="L23" s="29" t="s">
        <v>1244</v>
      </c>
      <c r="M23" s="21" t="s">
        <v>1253</v>
      </c>
      <c r="N23" s="48">
        <v>45667</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615</v>
      </c>
      <c r="J24" s="43">
        <f>VLOOKUP(Table1[[#This Row],[Status]],Auxiliar!$B$16:$C$24,2,0)</f>
        <v>5</v>
      </c>
      <c r="K24" s="2" t="s">
        <v>1249</v>
      </c>
      <c r="L24" s="29" t="s">
        <v>1244</v>
      </c>
      <c r="M24" s="21" t="s">
        <v>1253</v>
      </c>
      <c r="N24" s="48">
        <v>45667</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615</v>
      </c>
      <c r="J25" s="43">
        <f>VLOOKUP(Table1[[#This Row],[Status]],Auxiliar!$B$16:$C$24,2,0)</f>
        <v>5</v>
      </c>
      <c r="K25" s="2" t="s">
        <v>1257</v>
      </c>
      <c r="L25" s="29" t="s">
        <v>1244</v>
      </c>
      <c r="M25" s="21" t="s">
        <v>1253</v>
      </c>
      <c r="N25" s="48">
        <v>45667</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615</v>
      </c>
      <c r="J26" s="43">
        <f>VLOOKUP(Table1[[#This Row],[Status]],Auxiliar!$B$16:$C$24,2,0)</f>
        <v>5</v>
      </c>
      <c r="K26" s="2" t="s">
        <v>1249</v>
      </c>
      <c r="L26" s="29" t="s">
        <v>1244</v>
      </c>
      <c r="M26" s="21" t="s">
        <v>1253</v>
      </c>
      <c r="N26" s="48">
        <v>45667</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615</v>
      </c>
      <c r="J27" s="43">
        <f>VLOOKUP(Table1[[#This Row],[Status]],Auxiliar!$B$16:$C$24,2,0)</f>
        <v>5</v>
      </c>
      <c r="K27" s="2" t="s">
        <v>1257</v>
      </c>
      <c r="L27" s="29" t="s">
        <v>1244</v>
      </c>
      <c r="M27" s="21" t="s">
        <v>1253</v>
      </c>
      <c r="N27" s="48">
        <v>45667</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615</v>
      </c>
      <c r="J28" s="43">
        <f>VLOOKUP(Table1[[#This Row],[Status]],Auxiliar!$B$16:$C$24,2,0)</f>
        <v>5</v>
      </c>
      <c r="K28" s="2" t="s">
        <v>1249</v>
      </c>
      <c r="L28" s="29" t="s">
        <v>1244</v>
      </c>
      <c r="M28" s="21" t="s">
        <v>1253</v>
      </c>
      <c r="N28" s="48">
        <v>45667</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615</v>
      </c>
      <c r="J29" s="43">
        <f>VLOOKUP(Table1[[#This Row],[Status]],Auxiliar!$B$16:$C$24,2,0)</f>
        <v>5</v>
      </c>
      <c r="K29" s="2" t="s">
        <v>1257</v>
      </c>
      <c r="L29" s="29" t="s">
        <v>1244</v>
      </c>
      <c r="M29" s="21" t="s">
        <v>1253</v>
      </c>
      <c r="N29" s="48">
        <v>45667</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615</v>
      </c>
      <c r="J30" s="43">
        <f>VLOOKUP(Table1[[#This Row],[Status]],Auxiliar!$B$16:$C$24,2,0)</f>
        <v>5</v>
      </c>
      <c r="K30" s="2" t="s">
        <v>1249</v>
      </c>
      <c r="L30" s="29" t="s">
        <v>1244</v>
      </c>
      <c r="M30" s="21" t="s">
        <v>1253</v>
      </c>
      <c r="N30" s="48">
        <v>45667</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615</v>
      </c>
      <c r="J31" s="43">
        <f>VLOOKUP(Table1[[#This Row],[Status]],Auxiliar!$B$16:$C$24,2,0)</f>
        <v>5</v>
      </c>
      <c r="K31" s="2" t="s">
        <v>1257</v>
      </c>
      <c r="L31" s="29" t="s">
        <v>1244</v>
      </c>
      <c r="M31" s="21" t="s">
        <v>1253</v>
      </c>
      <c r="N31" s="48">
        <v>45667</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615</v>
      </c>
      <c r="J32" s="43">
        <f>VLOOKUP(Table1[[#This Row],[Status]],Auxiliar!$B$16:$C$24,2,0)</f>
        <v>5</v>
      </c>
      <c r="K32" s="2" t="s">
        <v>1249</v>
      </c>
      <c r="L32" s="29" t="s">
        <v>1244</v>
      </c>
      <c r="M32" s="21" t="s">
        <v>1253</v>
      </c>
      <c r="N32" s="48">
        <v>45667</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615</v>
      </c>
      <c r="J33" s="43">
        <f>VLOOKUP(Table1[[#This Row],[Status]],Auxiliar!$B$16:$C$24,2,0)</f>
        <v>5</v>
      </c>
      <c r="K33" s="2" t="s">
        <v>1257</v>
      </c>
      <c r="L33" s="29" t="s">
        <v>1244</v>
      </c>
      <c r="M33" s="21" t="s">
        <v>1253</v>
      </c>
      <c r="N33" s="48">
        <v>45667</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1246</v>
      </c>
      <c r="L158" s="29" t="s">
        <v>1244</v>
      </c>
      <c r="M158" s="21" t="s">
        <v>1253</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1247</v>
      </c>
      <c r="L159" s="29" t="s">
        <v>1244</v>
      </c>
      <c r="M159" s="21" t="s">
        <v>1253</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1249</v>
      </c>
      <c r="L160" s="29" t="s">
        <v>1244</v>
      </c>
      <c r="M160" s="21" t="s">
        <v>1253</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1246</v>
      </c>
      <c r="L179" s="29" t="s">
        <v>1244</v>
      </c>
      <c r="M179" s="21" t="s">
        <v>1253</v>
      </c>
      <c r="N179" s="48">
        <v>45485</v>
      </c>
      <c r="O179" s="21">
        <f>INDEX(Auxiliar!$D$5:$F$13,MATCH(Table1[[#This Row],[Tipologia_Testes]],Auxiliar!$B$5:$B$13,0),MATCH(Table1[[#This Row],[Complexidade]],Auxiliar!$D$4:$F$4,0))</f>
        <v>2</v>
      </c>
      <c r="P179" s="2" t="s">
        <v>1270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1247</v>
      </c>
      <c r="L180" s="29" t="s">
        <v>1244</v>
      </c>
      <c r="M180" s="21" t="s">
        <v>1253</v>
      </c>
      <c r="N180" s="48">
        <v>45485</v>
      </c>
      <c r="O180" s="21">
        <f>INDEX(Auxiliar!$D$5:$F$13,MATCH(Table1[[#This Row],[Tipologia_Testes]],Auxiliar!$B$5:$B$13,0),MATCH(Table1[[#This Row],[Complexidade]],Auxiliar!$D$4:$F$4,0))</f>
        <v>2</v>
      </c>
      <c r="P180" s="2" t="s">
        <v>1270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1249</v>
      </c>
      <c r="L181" s="29" t="s">
        <v>1244</v>
      </c>
      <c r="M181" s="21" t="s">
        <v>1253</v>
      </c>
      <c r="N181" s="48">
        <v>45485</v>
      </c>
      <c r="O181" s="21">
        <f>INDEX(Auxiliar!$D$5:$F$13,MATCH(Table1[[#This Row],[Tipologia_Testes]],Auxiliar!$B$5:$B$13,0),MATCH(Table1[[#This Row],[Complexidade]],Auxiliar!$D$4:$F$4,0))</f>
        <v>0.1</v>
      </c>
      <c r="P181" s="2" t="s">
        <v>1270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1246</v>
      </c>
      <c r="L224" s="29" t="s">
        <v>1244</v>
      </c>
      <c r="M224" s="21" t="s">
        <v>1253</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1247</v>
      </c>
      <c r="L225" s="29" t="s">
        <v>1244</v>
      </c>
      <c r="M225" s="21" t="s">
        <v>1253</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1249</v>
      </c>
      <c r="L226" s="29" t="s">
        <v>1244</v>
      </c>
      <c r="M226" s="21" t="s">
        <v>1253</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1246</v>
      </c>
      <c r="L251" s="29" t="s">
        <v>1244</v>
      </c>
      <c r="M251" s="21" t="s">
        <v>1253</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1247</v>
      </c>
      <c r="L252" s="29" t="s">
        <v>1244</v>
      </c>
      <c r="M252" s="21" t="s">
        <v>1253</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1249</v>
      </c>
      <c r="L253" s="29" t="s">
        <v>1244</v>
      </c>
      <c r="M253" s="21" t="s">
        <v>1253</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1243</v>
      </c>
      <c r="L347" s="29" t="s">
        <v>1244</v>
      </c>
      <c r="M347" s="21" t="s">
        <v>1245</v>
      </c>
      <c r="N347" s="48">
        <v>45512</v>
      </c>
      <c r="O347" s="21">
        <f>INDEX(Auxiliar!$D$5:$F$13,MATCH(Table1[[#This Row],[Tipologia_Testes]],Auxiliar!$B$5:$B$13,0),MATCH(Table1[[#This Row],[Complexidade]],Auxiliar!$D$4:$F$4,0))</f>
        <v>8</v>
      </c>
      <c r="P347" s="23" t="s">
        <v>1271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1246</v>
      </c>
      <c r="L348" s="29" t="s">
        <v>1252</v>
      </c>
      <c r="M348" s="21" t="s">
        <v>1253</v>
      </c>
      <c r="N348" s="48">
        <v>45499</v>
      </c>
      <c r="O348" s="21">
        <f>INDEX(Auxiliar!$D$5:$F$13,MATCH(Table1[[#This Row],[Tipologia_Testes]],Auxiliar!$B$5:$B$13,0),MATCH(Table1[[#This Row],[Complexidade]],Auxiliar!$D$4:$F$4,0))</f>
        <v>2</v>
      </c>
      <c r="P348" s="2" t="s">
        <v>1266</v>
      </c>
      <c r="Q348" s="2" t="s">
        <v>1263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1247</v>
      </c>
      <c r="L349" s="29" t="s">
        <v>1252</v>
      </c>
      <c r="M349" s="21" t="s">
        <v>1253</v>
      </c>
      <c r="N349" s="48">
        <v>45499</v>
      </c>
      <c r="O349" s="21">
        <f>INDEX(Auxiliar!$D$5:$F$13,MATCH(Table1[[#This Row],[Tipologia_Testes]],Auxiliar!$B$5:$B$13,0),MATCH(Table1[[#This Row],[Complexidade]],Auxiliar!$D$4:$F$4,0))</f>
        <v>2</v>
      </c>
      <c r="P349" s="2" t="s">
        <v>1266</v>
      </c>
      <c r="Q349" s="2" t="s">
        <v>1263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1249</v>
      </c>
      <c r="L350" s="29" t="s">
        <v>1252</v>
      </c>
      <c r="M350" s="21" t="s">
        <v>1253</v>
      </c>
      <c r="N350" s="48">
        <v>45499</v>
      </c>
      <c r="O350" s="21">
        <f>INDEX(Auxiliar!$D$5:$F$13,MATCH(Table1[[#This Row],[Tipologia_Testes]],Auxiliar!$B$5:$B$13,0),MATCH(Table1[[#This Row],[Complexidade]],Auxiliar!$D$4:$F$4,0))</f>
        <v>0.1</v>
      </c>
      <c r="P350" s="2" t="s">
        <v>1266</v>
      </c>
      <c r="Q350" s="2" t="s">
        <v>1263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1246</v>
      </c>
      <c r="L357" s="29" t="s">
        <v>1264</v>
      </c>
      <c r="M357" s="21" t="s">
        <v>1253</v>
      </c>
      <c r="N357" s="48">
        <v>45485</v>
      </c>
      <c r="O357" s="21">
        <f>INDEX(Auxiliar!$D$5:$F$13,MATCH(Table1[[#This Row],[Tipologia_Testes]],Auxiliar!$B$5:$B$13,0),MATCH(Table1[[#This Row],[Complexidade]],Auxiliar!$D$4:$F$4,0))</f>
        <v>2</v>
      </c>
      <c r="P357" s="2" t="s">
        <v>1272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1246</v>
      </c>
      <c r="L358" s="29" t="s">
        <v>1252</v>
      </c>
      <c r="M358" s="21" t="s">
        <v>1253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1247</v>
      </c>
      <c r="L359" s="29" t="s">
        <v>1252</v>
      </c>
      <c r="M359" s="21" t="s">
        <v>1253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1249</v>
      </c>
      <c r="L360" s="29" t="s">
        <v>1252</v>
      </c>
      <c r="M360" s="21" t="s">
        <v>1253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1246</v>
      </c>
      <c r="L385" s="29" t="s">
        <v>1264</v>
      </c>
      <c r="M385" s="21" t="s">
        <v>1253</v>
      </c>
      <c r="N385" s="48">
        <v>45485</v>
      </c>
      <c r="O385" s="21">
        <f>INDEX(Auxiliar!$D$5:$F$13,MATCH(Table1[[#This Row],[Tipologia_Testes]],Auxiliar!$B$5:$B$13,0),MATCH(Table1[[#This Row],[Complexidade]],Auxiliar!$D$4:$F$4,0))</f>
        <v>2</v>
      </c>
      <c r="P385" s="2" t="s">
        <v>1272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1246</v>
      </c>
      <c r="L386" s="29" t="s">
        <v>1264</v>
      </c>
      <c r="M386" s="21" t="s">
        <v>1253</v>
      </c>
      <c r="N386" s="48">
        <v>45485</v>
      </c>
      <c r="O386" s="21">
        <f>INDEX(Auxiliar!$D$5:$F$13,MATCH(Table1[[#This Row],[Tipologia_Testes]],Auxiliar!$B$5:$B$13,0),MATCH(Table1[[#This Row],[Complexidade]],Auxiliar!$D$4:$F$4,0))</f>
        <v>2</v>
      </c>
      <c r="P386" s="2" t="s">
        <v>1272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1246</v>
      </c>
      <c r="L387" s="29" t="s">
        <v>1252</v>
      </c>
      <c r="M387" s="21" t="s">
        <v>1253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1247</v>
      </c>
      <c r="L388" s="29" t="s">
        <v>1252</v>
      </c>
      <c r="M388" s="21" t="s">
        <v>1253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1249</v>
      </c>
      <c r="L389" s="29" t="s">
        <v>1252</v>
      </c>
      <c r="M389" s="21" t="s">
        <v>1253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1243</v>
      </c>
      <c r="L393" s="29" t="s">
        <v>1244</v>
      </c>
      <c r="M393" s="21" t="s">
        <v>1245</v>
      </c>
      <c r="N393" s="48">
        <v>45512</v>
      </c>
      <c r="O393" s="21">
        <f>INDEX(Auxiliar!$D$5:$F$13,MATCH(Table1[[#This Row],[Tipologia_Testes]],Auxiliar!$B$5:$B$13,0),MATCH(Table1[[#This Row],[Complexidade]],Auxiliar!$D$4:$F$4,0))</f>
        <v>8</v>
      </c>
      <c r="P393" s="23" t="s">
        <v>1273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1246</v>
      </c>
      <c r="L394" s="29" t="s">
        <v>1244</v>
      </c>
      <c r="M394" s="21" t="s">
        <v>1254</v>
      </c>
      <c r="N394" s="48">
        <v>45499</v>
      </c>
      <c r="O394" s="21">
        <f>INDEX(Auxiliar!$D$5:$F$13,MATCH(Table1[[#This Row],[Tipologia_Testes]],Auxiliar!$B$5:$B$13,0),MATCH(Table1[[#This Row],[Complexidade]],Auxiliar!$D$4:$F$4,0))</f>
        <v>4</v>
      </c>
      <c r="P394" s="2" t="s">
        <v>1266</v>
      </c>
      <c r="Q394" s="2" t="s">
        <v>1263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1247</v>
      </c>
      <c r="L395" s="29" t="s">
        <v>1244</v>
      </c>
      <c r="M395" s="21" t="s">
        <v>1254</v>
      </c>
      <c r="N395" s="48">
        <v>45499</v>
      </c>
      <c r="O395" s="21">
        <f>INDEX(Auxiliar!$D$5:$F$13,MATCH(Table1[[#This Row],[Tipologia_Testes]],Auxiliar!$B$5:$B$13,0),MATCH(Table1[[#This Row],[Complexidade]],Auxiliar!$D$4:$F$4,0))</f>
        <v>4</v>
      </c>
      <c r="P395" s="2" t="s">
        <v>1266</v>
      </c>
      <c r="Q395" s="2" t="s">
        <v>1263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1249</v>
      </c>
      <c r="L396" s="29" t="s">
        <v>1244</v>
      </c>
      <c r="M396" s="21" t="s">
        <v>1254</v>
      </c>
      <c r="N396" s="48">
        <v>45499</v>
      </c>
      <c r="O396" s="21">
        <f>INDEX(Auxiliar!$D$5:$F$13,MATCH(Table1[[#This Row],[Tipologia_Testes]],Auxiliar!$B$5:$B$13,0),MATCH(Table1[[#This Row],[Complexidade]],Auxiliar!$D$4:$F$4,0))</f>
        <v>0.1</v>
      </c>
      <c r="P396" s="2" t="s">
        <v>1266</v>
      </c>
      <c r="Q396" s="2" t="s">
        <v>1263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1246</v>
      </c>
      <c r="L412" s="29" t="s">
        <v>1252</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1247</v>
      </c>
      <c r="L413" s="29" t="s">
        <v>1252</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1249</v>
      </c>
      <c r="L414" s="29" t="s">
        <v>1252</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1246</v>
      </c>
      <c r="L415" s="29" t="s">
        <v>1252</v>
      </c>
      <c r="M415" s="21" t="s">
        <v>1254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1247</v>
      </c>
      <c r="L416" s="29" t="s">
        <v>1252</v>
      </c>
      <c r="M416" s="21" t="s">
        <v>1254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1249</v>
      </c>
      <c r="L417" s="29" t="s">
        <v>1252</v>
      </c>
      <c r="M417" s="21" t="s">
        <v>1254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1246</v>
      </c>
      <c r="L424" s="29" t="s">
        <v>1264</v>
      </c>
      <c r="M424" s="21" t="s">
        <v>1254</v>
      </c>
      <c r="N424" s="48">
        <v>45485</v>
      </c>
      <c r="O424" s="21">
        <f>INDEX(Auxiliar!$D$5:$F$13,MATCH(Table1[[#This Row],[Tipologia_Testes]],Auxiliar!$B$5:$B$13,0),MATCH(Table1[[#This Row],[Complexidade]],Auxiliar!$D$4:$F$4,0))</f>
        <v>4</v>
      </c>
      <c r="P424" s="2" t="s">
        <v>1272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1246</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1247</v>
      </c>
      <c r="L426" s="29" t="s">
        <v>1252</v>
      </c>
      <c r="M426" s="21" t="s">
        <v>1254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1249</v>
      </c>
      <c r="L427" s="29" t="s">
        <v>1252</v>
      </c>
      <c r="M427" s="21" t="s">
        <v>1254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1246</v>
      </c>
      <c r="L428" s="29" t="s">
        <v>1244</v>
      </c>
      <c r="M428" s="21" t="s">
        <v>1254</v>
      </c>
      <c r="N428" s="48">
        <v>45512</v>
      </c>
      <c r="O428" s="21">
        <f>INDEX(Auxiliar!$D$5:$F$13,MATCH(Table1[[#This Row],[Tipologia_Testes]],Auxiliar!$B$5:$B$13,0),MATCH(Table1[[#This Row],[Complexidade]],Auxiliar!$D$4:$F$4,0))</f>
        <v>4</v>
      </c>
      <c r="P428" s="2" t="s">
        <v>1274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1247</v>
      </c>
      <c r="L429" s="29" t="s">
        <v>1244</v>
      </c>
      <c r="M429" s="21" t="s">
        <v>1254</v>
      </c>
      <c r="N429" s="48">
        <v>45512</v>
      </c>
      <c r="O429" s="21">
        <f>INDEX(Auxiliar!$D$5:$F$13,MATCH(Table1[[#This Row],[Tipologia_Testes]],Auxiliar!$B$5:$B$13,0),MATCH(Table1[[#This Row],[Complexidade]],Auxiliar!$D$4:$F$4,0))</f>
        <v>4</v>
      </c>
      <c r="P429" s="2" t="s">
        <v>1274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1249</v>
      </c>
      <c r="L430" s="29" t="s">
        <v>1244</v>
      </c>
      <c r="M430" s="21" t="s">
        <v>1254</v>
      </c>
      <c r="N430" s="48">
        <v>45512</v>
      </c>
      <c r="O430" s="21">
        <f>INDEX(Auxiliar!$D$5:$F$13,MATCH(Table1[[#This Row],[Tipologia_Testes]],Auxiliar!$B$5:$B$13,0),MATCH(Table1[[#This Row],[Complexidade]],Auxiliar!$D$4:$F$4,0))</f>
        <v>0.1</v>
      </c>
      <c r="P430" s="2" t="s">
        <v>1274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1246</v>
      </c>
      <c r="L431" s="29" t="s">
        <v>1252</v>
      </c>
      <c r="M431" s="21" t="s">
        <v>1254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1247</v>
      </c>
      <c r="L432" s="29" t="s">
        <v>1252</v>
      </c>
      <c r="M432" s="21" t="s">
        <v>1254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1249</v>
      </c>
      <c r="L433" s="29" t="s">
        <v>1252</v>
      </c>
      <c r="M433" s="21" t="s">
        <v>1254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1246</v>
      </c>
      <c r="L440" s="29" t="s">
        <v>1264</v>
      </c>
      <c r="M440" s="21" t="s">
        <v>1254</v>
      </c>
      <c r="N440" s="48">
        <v>45485</v>
      </c>
      <c r="O440" s="21">
        <f>INDEX(Auxiliar!$D$5:$F$13,MATCH(Table1[[#This Row],[Tipologia_Testes]],Auxiliar!$B$5:$B$13,0),MATCH(Table1[[#This Row],[Complexidade]],Auxiliar!$D$4:$F$4,0))</f>
        <v>4</v>
      </c>
      <c r="P440" s="2" t="s">
        <v>1272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1246</v>
      </c>
      <c r="L441" s="29" t="s">
        <v>1264</v>
      </c>
      <c r="M441" s="21" t="s">
        <v>1254</v>
      </c>
      <c r="N441" s="48">
        <v>45485</v>
      </c>
      <c r="O441" s="21">
        <f>INDEX(Auxiliar!$D$5:$F$13,MATCH(Table1[[#This Row],[Tipologia_Testes]],Auxiliar!$B$5:$B$13,0),MATCH(Table1[[#This Row],[Complexidade]],Auxiliar!$D$4:$F$4,0))</f>
        <v>4</v>
      </c>
      <c r="P441" s="2" t="s">
        <v>1272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1246</v>
      </c>
      <c r="L442" s="29" t="s">
        <v>1252</v>
      </c>
      <c r="M442" s="21" t="s">
        <v>1253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1247</v>
      </c>
      <c r="L443" s="29" t="s">
        <v>1252</v>
      </c>
      <c r="M443" s="21" t="s">
        <v>1253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1249</v>
      </c>
      <c r="L444" s="29" t="s">
        <v>1252</v>
      </c>
      <c r="M444" s="21" t="s">
        <v>1253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1243</v>
      </c>
      <c r="L448" s="29" t="s">
        <v>1244</v>
      </c>
      <c r="M448" s="21" t="s">
        <v>1245</v>
      </c>
      <c r="N448" s="48">
        <v>45485</v>
      </c>
      <c r="O448" s="21">
        <f>INDEX(Auxiliar!$D$5:$F$13,MATCH(Table1[[#This Row],[Tipologia_Testes]],Auxiliar!$B$5:$B$13,0),MATCH(Table1[[#This Row],[Complexidade]],Auxiliar!$D$4:$F$4,0))</f>
        <v>8</v>
      </c>
      <c r="P448" s="23" t="s">
        <v>1273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1246</v>
      </c>
      <c r="L449" s="29" t="s">
        <v>1252</v>
      </c>
      <c r="M449" s="21" t="s">
        <v>1253</v>
      </c>
      <c r="N449" s="48">
        <v>45485</v>
      </c>
      <c r="O449" s="21">
        <f>INDEX(Auxiliar!$D$5:$F$13,MATCH(Table1[[#This Row],[Tipologia_Testes]],Auxiliar!$B$5:$B$13,0),MATCH(Table1[[#This Row],[Complexidade]],Auxiliar!$D$4:$F$4,0))</f>
        <v>2</v>
      </c>
      <c r="P449" s="2" t="s">
        <v>1266</v>
      </c>
      <c r="Q449" s="2" t="s">
        <v>1263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1247</v>
      </c>
      <c r="L450" s="29" t="s">
        <v>1252</v>
      </c>
      <c r="M450" s="21" t="s">
        <v>1253</v>
      </c>
      <c r="N450" s="48">
        <v>45485</v>
      </c>
      <c r="O450" s="21">
        <f>INDEX(Auxiliar!$D$5:$F$13,MATCH(Table1[[#This Row],[Tipologia_Testes]],Auxiliar!$B$5:$B$13,0),MATCH(Table1[[#This Row],[Complexidade]],Auxiliar!$D$4:$F$4,0))</f>
        <v>2</v>
      </c>
      <c r="P450" s="2" t="s">
        <v>1266</v>
      </c>
      <c r="Q450" s="2" t="s">
        <v>1263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1249</v>
      </c>
      <c r="L451" s="29" t="s">
        <v>1252</v>
      </c>
      <c r="M451" s="21" t="s">
        <v>1253</v>
      </c>
      <c r="N451" s="48">
        <v>45485</v>
      </c>
      <c r="O451" s="21">
        <f>INDEX(Auxiliar!$D$5:$F$13,MATCH(Table1[[#This Row],[Tipologia_Testes]],Auxiliar!$B$5:$B$13,0),MATCH(Table1[[#This Row],[Complexidade]],Auxiliar!$D$4:$F$4,0))</f>
        <v>0.1</v>
      </c>
      <c r="P451" s="2" t="s">
        <v>1266</v>
      </c>
      <c r="Q451" s="2" t="s">
        <v>1263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1246</v>
      </c>
      <c r="L452" s="29" t="s">
        <v>1244</v>
      </c>
      <c r="M452" s="21" t="s">
        <v>1254</v>
      </c>
      <c r="N452" s="48">
        <v>45499</v>
      </c>
      <c r="O452" s="21">
        <f>INDEX(Auxiliar!$D$5:$F$13,MATCH(Table1[[#This Row],[Tipologia_Testes]],Auxiliar!$B$5:$B$13,0),MATCH(Table1[[#This Row],[Complexidade]],Auxiliar!$D$4:$F$4,0))</f>
        <v>4</v>
      </c>
      <c r="P452" s="2" t="s">
        <v>1266</v>
      </c>
      <c r="Q452" s="2" t="s">
        <v>1263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1247</v>
      </c>
      <c r="L453" s="29" t="s">
        <v>1244</v>
      </c>
      <c r="M453" s="21" t="s">
        <v>1254</v>
      </c>
      <c r="N453" s="48">
        <v>45499</v>
      </c>
      <c r="O453" s="21">
        <f>INDEX(Auxiliar!$D$5:$F$13,MATCH(Table1[[#This Row],[Tipologia_Testes]],Auxiliar!$B$5:$B$13,0),MATCH(Table1[[#This Row],[Complexidade]],Auxiliar!$D$4:$F$4,0))</f>
        <v>4</v>
      </c>
      <c r="P453" s="2" t="s">
        <v>1266</v>
      </c>
      <c r="Q453" s="2" t="s">
        <v>1263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1249</v>
      </c>
      <c r="L454" s="29" t="s">
        <v>1244</v>
      </c>
      <c r="M454" s="21" t="s">
        <v>1254</v>
      </c>
      <c r="N454" s="48">
        <v>45499</v>
      </c>
      <c r="O454" s="21">
        <f>INDEX(Auxiliar!$D$5:$F$13,MATCH(Table1[[#This Row],[Tipologia_Testes]],Auxiliar!$B$5:$B$13,0),MATCH(Table1[[#This Row],[Complexidade]],Auxiliar!$D$4:$F$4,0))</f>
        <v>0.1</v>
      </c>
      <c r="P454" s="2" t="s">
        <v>1266</v>
      </c>
      <c r="Q454" s="2" t="s">
        <v>1263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1246</v>
      </c>
      <c r="L467" s="29" t="s">
        <v>1252</v>
      </c>
      <c r="M467" s="21" t="s">
        <v>1253</v>
      </c>
      <c r="N467" s="48">
        <v>45485</v>
      </c>
      <c r="O467" s="21">
        <f>INDEX(Auxiliar!$D$5:$F$13,MATCH(Table1[[#This Row],[Tipologia_Testes]],Auxiliar!$B$5:$B$13,0),MATCH(Table1[[#This Row],[Complexidade]],Auxiliar!$D$4:$F$4,0))</f>
        <v>2</v>
      </c>
      <c r="P467" s="2" t="s">
        <v>1266</v>
      </c>
      <c r="Q467" s="2" t="s">
        <v>1263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1247</v>
      </c>
      <c r="L468" s="29" t="s">
        <v>1252</v>
      </c>
      <c r="M468" s="21" t="s">
        <v>1253</v>
      </c>
      <c r="N468" s="48">
        <v>45485</v>
      </c>
      <c r="O468" s="21">
        <f>INDEX(Auxiliar!$D$5:$F$13,MATCH(Table1[[#This Row],[Tipologia_Testes]],Auxiliar!$B$5:$B$13,0),MATCH(Table1[[#This Row],[Complexidade]],Auxiliar!$D$4:$F$4,0))</f>
        <v>2</v>
      </c>
      <c r="P468" s="2" t="s">
        <v>1266</v>
      </c>
      <c r="Q468" s="2" t="s">
        <v>1263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1249</v>
      </c>
      <c r="L469" s="29" t="s">
        <v>1252</v>
      </c>
      <c r="M469" s="21" t="s">
        <v>1253</v>
      </c>
      <c r="N469" s="48">
        <v>45485</v>
      </c>
      <c r="O469" s="21">
        <f>INDEX(Auxiliar!$D$5:$F$13,MATCH(Table1[[#This Row],[Tipologia_Testes]],Auxiliar!$B$5:$B$13,0),MATCH(Table1[[#This Row],[Complexidade]],Auxiliar!$D$4:$F$4,0))</f>
        <v>0.1</v>
      </c>
      <c r="P469" s="2" t="s">
        <v>1266</v>
      </c>
      <c r="Q469" s="2" t="s">
        <v>1263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1246</v>
      </c>
      <c r="L470" s="29" t="s">
        <v>1244</v>
      </c>
      <c r="M470" s="21" t="s">
        <v>1254</v>
      </c>
      <c r="N470" s="48">
        <v>45505</v>
      </c>
      <c r="O470" s="21">
        <f>INDEX(Auxiliar!$D$5:$F$13,MATCH(Table1[[#This Row],[Tipologia_Testes]],Auxiliar!$B$5:$B$13,0),MATCH(Table1[[#This Row],[Complexidade]],Auxiliar!$D$4:$F$4,0))</f>
        <v>4</v>
      </c>
      <c r="P470" s="2"/>
      <c r="Q470" s="2" t="s">
        <v>1263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1247</v>
      </c>
      <c r="L471" s="29" t="s">
        <v>1244</v>
      </c>
      <c r="M471" s="21" t="s">
        <v>1254</v>
      </c>
      <c r="N471" s="48">
        <v>45505</v>
      </c>
      <c r="O471" s="21">
        <f>INDEX(Auxiliar!$D$5:$F$13,MATCH(Table1[[#This Row],[Tipologia_Testes]],Auxiliar!$B$5:$B$13,0),MATCH(Table1[[#This Row],[Complexidade]],Auxiliar!$D$4:$F$4,0))</f>
        <v>4</v>
      </c>
      <c r="P471" s="2"/>
      <c r="Q471" s="2" t="s">
        <v>1263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1249</v>
      </c>
      <c r="L472" s="29" t="s">
        <v>1244</v>
      </c>
      <c r="M472" s="21" t="s">
        <v>1254</v>
      </c>
      <c r="N472" s="48">
        <v>45505</v>
      </c>
      <c r="O472" s="21">
        <f>INDEX(Auxiliar!$D$5:$F$13,MATCH(Table1[[#This Row],[Tipologia_Testes]],Auxiliar!$B$5:$B$13,0),MATCH(Table1[[#This Row],[Complexidade]],Auxiliar!$D$4:$F$4,0))</f>
        <v>0.1</v>
      </c>
      <c r="P472" s="2"/>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1246</v>
      </c>
      <c r="L473" s="29" t="s">
        <v>1264</v>
      </c>
      <c r="M473" s="21" t="s">
        <v>1254</v>
      </c>
      <c r="N473" s="48">
        <v>45485</v>
      </c>
      <c r="O473" s="21">
        <f>INDEX(Auxiliar!$D$5:$F$13,MATCH(Table1[[#This Row],[Tipologia_Testes]],Auxiliar!$B$5:$B$13,0),MATCH(Table1[[#This Row],[Complexidade]],Auxiliar!$D$4:$F$4,0))</f>
        <v>4</v>
      </c>
      <c r="P473" s="2" t="s">
        <v>1272</v>
      </c>
      <c r="Q473" s="2" t="s">
        <v>1263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1246</v>
      </c>
      <c r="L474" s="29" t="s">
        <v>1252</v>
      </c>
      <c r="M474" s="21" t="s">
        <v>1253</v>
      </c>
      <c r="N474" s="48">
        <v>45485</v>
      </c>
      <c r="O474" s="21">
        <f>INDEX(Auxiliar!$D$5:$F$13,MATCH(Table1[[#This Row],[Tipologia_Testes]],Auxiliar!$B$5:$B$13,0),MATCH(Table1[[#This Row],[Complexidade]],Auxiliar!$D$4:$F$4,0))</f>
        <v>2</v>
      </c>
      <c r="P474" s="2"/>
      <c r="Q474" s="2" t="s">
        <v>1263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1247</v>
      </c>
      <c r="L475" s="29" t="s">
        <v>1252</v>
      </c>
      <c r="M475" s="21" t="s">
        <v>1253</v>
      </c>
      <c r="N475" s="48">
        <v>45485</v>
      </c>
      <c r="O475" s="21">
        <f>INDEX(Auxiliar!$D$5:$F$13,MATCH(Table1[[#This Row],[Tipologia_Testes]],Auxiliar!$B$5:$B$13,0),MATCH(Table1[[#This Row],[Complexidade]],Auxiliar!$D$4:$F$4,0))</f>
        <v>2</v>
      </c>
      <c r="P475" s="2"/>
      <c r="Q475" s="2" t="s">
        <v>1263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1249</v>
      </c>
      <c r="L476" s="29" t="s">
        <v>1252</v>
      </c>
      <c r="M476" s="21" t="s">
        <v>1253</v>
      </c>
      <c r="N476" s="48">
        <v>45485</v>
      </c>
      <c r="O476" s="21">
        <f>INDEX(Auxiliar!$D$5:$F$13,MATCH(Table1[[#This Row],[Tipologia_Testes]],Auxiliar!$B$5:$B$13,0),MATCH(Table1[[#This Row],[Complexidade]],Auxiliar!$D$4:$F$4,0))</f>
        <v>0.1</v>
      </c>
      <c r="P476" s="2"/>
      <c r="Q476" s="2" t="s">
        <v>1263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1243</v>
      </c>
      <c r="L492" s="29" t="s">
        <v>1252</v>
      </c>
      <c r="M492" s="21" t="s">
        <v>1253</v>
      </c>
      <c r="N492" s="48">
        <v>45505</v>
      </c>
      <c r="O492" s="21">
        <f>INDEX(Auxiliar!$D$5:$F$13,MATCH(Table1[[#This Row],[Tipologia_Testes]],Auxiliar!$B$5:$B$13,0),MATCH(Table1[[#This Row],[Complexidade]],Auxiliar!$D$4:$F$4,0))</f>
        <v>8</v>
      </c>
      <c r="P492" s="23" t="s">
        <v>1275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1246</v>
      </c>
      <c r="L493" s="29" t="s">
        <v>1252</v>
      </c>
      <c r="M493" s="21" t="s">
        <v>1253</v>
      </c>
      <c r="N493" s="48">
        <v>45485</v>
      </c>
      <c r="O493" s="21">
        <f>INDEX(Auxiliar!$D$5:$F$13,MATCH(Table1[[#This Row],[Tipologia_Testes]],Auxiliar!$B$5:$B$13,0),MATCH(Table1[[#This Row],[Complexidade]],Auxiliar!$D$4:$F$4,0))</f>
        <v>2</v>
      </c>
      <c r="P493" s="2" t="s">
        <v>1266</v>
      </c>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1247</v>
      </c>
      <c r="L494" s="29" t="s">
        <v>1252</v>
      </c>
      <c r="M494" s="21" t="s">
        <v>1253</v>
      </c>
      <c r="N494" s="48">
        <v>45485</v>
      </c>
      <c r="O494" s="21">
        <f>INDEX(Auxiliar!$D$5:$F$13,MATCH(Table1[[#This Row],[Tipologia_Testes]],Auxiliar!$B$5:$B$13,0),MATCH(Table1[[#This Row],[Complexidade]],Auxiliar!$D$4:$F$4,0))</f>
        <v>2</v>
      </c>
      <c r="P494" s="2" t="s">
        <v>1266</v>
      </c>
      <c r="Q494" s="2" t="s">
        <v>1263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1249</v>
      </c>
      <c r="L495" s="29" t="s">
        <v>1252</v>
      </c>
      <c r="M495" s="21" t="s">
        <v>1253</v>
      </c>
      <c r="N495" s="48">
        <v>45485</v>
      </c>
      <c r="O495" s="21">
        <f>INDEX(Auxiliar!$D$5:$F$13,MATCH(Table1[[#This Row],[Tipologia_Testes]],Auxiliar!$B$5:$B$13,0),MATCH(Table1[[#This Row],[Complexidade]],Auxiliar!$D$4:$F$4,0))</f>
        <v>0.1</v>
      </c>
      <c r="P495" s="2" t="s">
        <v>1266</v>
      </c>
      <c r="Q495" s="2" t="s">
        <v>1263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customHeight="1">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3</v>
      </c>
      <c r="K505" s="2" t="s">
        <v>1246</v>
      </c>
      <c r="L505" s="29" t="s">
        <v>1252</v>
      </c>
      <c r="M505" s="21" t="s">
        <v>1245</v>
      </c>
      <c r="N505" s="48">
        <v>45667</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customHeight="1">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3</v>
      </c>
      <c r="K506" s="2" t="s">
        <v>1247</v>
      </c>
      <c r="L506" s="29" t="s">
        <v>1252</v>
      </c>
      <c r="M506" s="21" t="s">
        <v>1245</v>
      </c>
      <c r="N506" s="48">
        <v>45667</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customHeight="1">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3</v>
      </c>
      <c r="K507" s="2" t="s">
        <v>1249</v>
      </c>
      <c r="L507" s="29" t="s">
        <v>1252</v>
      </c>
      <c r="M507" s="21" t="s">
        <v>1245</v>
      </c>
      <c r="N507" s="48">
        <v>45667</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customHeight="1">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3</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customHeight="1">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3</v>
      </c>
      <c r="K509" s="2" t="s">
        <v>1247</v>
      </c>
      <c r="L509" s="29" t="s">
        <v>1252</v>
      </c>
      <c r="M509" s="21" t="s">
        <v>1245</v>
      </c>
      <c r="N509" s="48">
        <v>45667</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customHeight="1">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3</v>
      </c>
      <c r="K510" s="2" t="s">
        <v>1249</v>
      </c>
      <c r="L510" s="29" t="s">
        <v>1252</v>
      </c>
      <c r="M510" s="21" t="s">
        <v>1245</v>
      </c>
      <c r="N510" s="48">
        <v>45667</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customHeight="1">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3</v>
      </c>
      <c r="K511" s="2" t="s">
        <v>1246</v>
      </c>
      <c r="L511" s="29" t="s">
        <v>1244</v>
      </c>
      <c r="M511" s="21" t="s">
        <v>1253</v>
      </c>
      <c r="N511" s="48">
        <v>45667</v>
      </c>
      <c r="O511" s="21">
        <f>INDEX(Auxiliar!$D$5:$F$13,MATCH(Table1[[#This Row],[Tipologia_Testes]],Auxiliar!$B$5:$B$13,0),MATCH(Table1[[#This Row],[Complexidade]],Auxiliar!$D$4:$F$4,0))</f>
        <v>2</v>
      </c>
      <c r="P511" s="23" t="s">
        <v>1276</v>
      </c>
      <c r="Q511" s="2"/>
      <c r="R511" s="152">
        <v>45561</v>
      </c>
      <c r="S511" s="152"/>
      <c r="T511" s="152">
        <v>45569</v>
      </c>
      <c r="U511" s="152">
        <v>45621</v>
      </c>
      <c r="V511" s="152">
        <v>45631</v>
      </c>
      <c r="W511" s="2">
        <f>VLOOKUP(Table1[[#This Row],[Status]],Auxiliar!$B$16:$D$24,3,0)*Table1[[#This Row],[Estimação (horas)]]</f>
        <v>1</v>
      </c>
      <c r="X511" s="2"/>
    </row>
    <row r="512" spans="2:24" ht="52.2" customHeight="1">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3</v>
      </c>
      <c r="K512" s="2" t="s">
        <v>1247</v>
      </c>
      <c r="L512" s="29" t="s">
        <v>1244</v>
      </c>
      <c r="M512" s="21" t="s">
        <v>1253</v>
      </c>
      <c r="N512" s="48">
        <v>45667</v>
      </c>
      <c r="O512" s="21">
        <f>INDEX(Auxiliar!$D$5:$F$13,MATCH(Table1[[#This Row],[Tipologia_Testes]],Auxiliar!$B$5:$B$13,0),MATCH(Table1[[#This Row],[Complexidade]],Auxiliar!$D$4:$F$4,0))</f>
        <v>2</v>
      </c>
      <c r="P512" s="23" t="s">
        <v>1276</v>
      </c>
      <c r="Q512" s="2"/>
      <c r="R512" s="152">
        <v>45561</v>
      </c>
      <c r="S512" s="152"/>
      <c r="T512" s="152">
        <v>45569</v>
      </c>
      <c r="U512" s="152">
        <v>45621</v>
      </c>
      <c r="V512" s="152">
        <v>45631</v>
      </c>
      <c r="W512" s="2">
        <f>VLOOKUP(Table1[[#This Row],[Status]],Auxiliar!$B$16:$D$24,3,0)*Table1[[#This Row],[Estimação (horas)]]</f>
        <v>1</v>
      </c>
      <c r="X512" s="2"/>
    </row>
    <row r="513" spans="2:24" ht="52.2" customHeight="1">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3</v>
      </c>
      <c r="K513" s="2" t="s">
        <v>1249</v>
      </c>
      <c r="L513" s="29" t="s">
        <v>1244</v>
      </c>
      <c r="M513" s="21" t="s">
        <v>1253</v>
      </c>
      <c r="N513" s="48">
        <v>45667</v>
      </c>
      <c r="O513" s="21">
        <f>INDEX(Auxiliar!$D$5:$F$13,MATCH(Table1[[#This Row],[Tipologia_Testes]],Auxiliar!$B$5:$B$13,0),MATCH(Table1[[#This Row],[Complexidade]],Auxiliar!$D$4:$F$4,0))</f>
        <v>0.1</v>
      </c>
      <c r="P513" s="23" t="s">
        <v>1276</v>
      </c>
      <c r="Q513" s="2"/>
      <c r="R513" s="152">
        <v>45561</v>
      </c>
      <c r="S513" s="152"/>
      <c r="T513" s="152">
        <v>45569</v>
      </c>
      <c r="U513" s="152">
        <v>45621</v>
      </c>
      <c r="V513" s="152">
        <v>45631</v>
      </c>
      <c r="W513" s="2">
        <f>VLOOKUP(Table1[[#This Row],[Status]],Auxiliar!$B$16:$D$24,3,0)*Table1[[#This Row],[Estimação (horas)]]</f>
        <v>0.05</v>
      </c>
      <c r="X513" s="2"/>
    </row>
    <row r="514" spans="2:24" ht="52.2" customHeight="1">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3</v>
      </c>
      <c r="K514" s="2" t="s">
        <v>1246</v>
      </c>
      <c r="L514" s="29" t="s">
        <v>1244</v>
      </c>
      <c r="M514" s="21" t="s">
        <v>1253</v>
      </c>
      <c r="N514" s="48">
        <v>45667</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customHeight="1">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3</v>
      </c>
      <c r="K515" s="2" t="s">
        <v>1247</v>
      </c>
      <c r="L515" s="29" t="s">
        <v>1244</v>
      </c>
      <c r="M515" s="21" t="s">
        <v>1253</v>
      </c>
      <c r="N515" s="48">
        <v>45667</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customHeight="1">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3</v>
      </c>
      <c r="K516" s="2" t="s">
        <v>1249</v>
      </c>
      <c r="L516" s="29" t="s">
        <v>1244</v>
      </c>
      <c r="M516" s="21" t="s">
        <v>1253</v>
      </c>
      <c r="N516" s="48">
        <v>45667</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1246</v>
      </c>
      <c r="L517" s="29" t="s">
        <v>1244</v>
      </c>
      <c r="M517" s="21" t="s">
        <v>1253</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1247</v>
      </c>
      <c r="L518" s="29" t="s">
        <v>1244</v>
      </c>
      <c r="M518" s="21" t="s">
        <v>1253</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1249</v>
      </c>
      <c r="L519" s="29" t="s">
        <v>1244</v>
      </c>
      <c r="M519" s="21" t="s">
        <v>1253</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1246</v>
      </c>
      <c r="L523" s="29" t="s">
        <v>1252</v>
      </c>
      <c r="M523" s="21" t="s">
        <v>1253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1247</v>
      </c>
      <c r="L524" s="29" t="s">
        <v>1252</v>
      </c>
      <c r="M524" s="21" t="s">
        <v>1253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1249</v>
      </c>
      <c r="L525" s="29" t="s">
        <v>1252</v>
      </c>
      <c r="M525" s="21" t="s">
        <v>1253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1246</v>
      </c>
      <c r="L526" s="29" t="s">
        <v>1252</v>
      </c>
      <c r="M526" s="21" t="s">
        <v>1253</v>
      </c>
      <c r="N526" s="48">
        <v>45485</v>
      </c>
      <c r="O526" s="21">
        <f>INDEX(Auxiliar!$D$5:$F$13,MATCH(Table1[[#This Row],[Tipologia_Testes]],Auxiliar!$B$5:$B$13,0),MATCH(Table1[[#This Row],[Complexidade]],Auxiliar!$D$4:$F$4,0))</f>
        <v>2</v>
      </c>
      <c r="P526" s="2"/>
      <c r="Q526" s="2" t="s">
        <v>1263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1247</v>
      </c>
      <c r="L527" s="29" t="s">
        <v>1252</v>
      </c>
      <c r="M527" s="21" t="s">
        <v>1253</v>
      </c>
      <c r="N527" s="48">
        <v>45485</v>
      </c>
      <c r="O527" s="21">
        <f>INDEX(Auxiliar!$D$5:$F$13,MATCH(Table1[[#This Row],[Tipologia_Testes]],Auxiliar!$B$5:$B$13,0),MATCH(Table1[[#This Row],[Complexidade]],Auxiliar!$D$4:$F$4,0))</f>
        <v>2</v>
      </c>
      <c r="P527" s="2"/>
      <c r="Q527" s="2" t="s">
        <v>1263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1249</v>
      </c>
      <c r="L528" s="29" t="s">
        <v>1252</v>
      </c>
      <c r="M528" s="21" t="s">
        <v>1253</v>
      </c>
      <c r="N528" s="48">
        <v>45485</v>
      </c>
      <c r="O528" s="21">
        <f>INDEX(Auxiliar!$D$5:$F$13,MATCH(Table1[[#This Row],[Tipologia_Testes]],Auxiliar!$B$5:$B$13,0),MATCH(Table1[[#This Row],[Complexidade]],Auxiliar!$D$4:$F$4,0))</f>
        <v>0.1</v>
      </c>
      <c r="P528" s="2"/>
      <c r="Q528" s="2" t="s">
        <v>1263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1246</v>
      </c>
      <c r="L529" s="29" t="s">
        <v>1244</v>
      </c>
      <c r="M529" s="21" t="s">
        <v>1254</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1247</v>
      </c>
      <c r="L530" s="29" t="s">
        <v>1244</v>
      </c>
      <c r="M530" s="21" t="s">
        <v>1254</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1249</v>
      </c>
      <c r="L531" s="29" t="s">
        <v>1244</v>
      </c>
      <c r="M531" s="21" t="s">
        <v>1254</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1246</v>
      </c>
      <c r="L535" s="29" t="s">
        <v>1252</v>
      </c>
      <c r="M535" s="21" t="s">
        <v>1253</v>
      </c>
      <c r="N535" s="48">
        <v>45485</v>
      </c>
      <c r="O535" s="21">
        <f>INDEX(Auxiliar!$D$5:$F$13,MATCH(Table1[[#This Row],[Tipologia_Testes]],Auxiliar!$B$5:$B$13,0),MATCH(Table1[[#This Row],[Complexidade]],Auxiliar!$D$4:$F$4,0))</f>
        <v>2</v>
      </c>
      <c r="P535" s="23"/>
      <c r="Q535" s="2" t="s">
        <v>1263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1247</v>
      </c>
      <c r="L536" s="29" t="s">
        <v>1252</v>
      </c>
      <c r="M536" s="21" t="s">
        <v>1253</v>
      </c>
      <c r="N536" s="48">
        <v>45485</v>
      </c>
      <c r="O536" s="21">
        <f>INDEX(Auxiliar!$D$5:$F$13,MATCH(Table1[[#This Row],[Tipologia_Testes]],Auxiliar!$B$5:$B$13,0),MATCH(Table1[[#This Row],[Complexidade]],Auxiliar!$D$4:$F$4,0))</f>
        <v>2</v>
      </c>
      <c r="P536" s="23"/>
      <c r="Q536" s="2" t="s">
        <v>1263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1249</v>
      </c>
      <c r="L537" s="29" t="s">
        <v>1252</v>
      </c>
      <c r="M537" s="21" t="s">
        <v>1253</v>
      </c>
      <c r="N537" s="48">
        <v>45485</v>
      </c>
      <c r="O537" s="21">
        <f>INDEX(Auxiliar!$D$5:$F$13,MATCH(Table1[[#This Row],[Tipologia_Testes]],Auxiliar!$B$5:$B$13,0),MATCH(Table1[[#This Row],[Complexidade]],Auxiliar!$D$4:$F$4,0))</f>
        <v>0.1</v>
      </c>
      <c r="P537" s="23"/>
      <c r="Q537" s="2" t="s">
        <v>1263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1246</v>
      </c>
      <c r="L538" s="29" t="s">
        <v>1244</v>
      </c>
      <c r="M538" s="21" t="s">
        <v>1253</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1247</v>
      </c>
      <c r="L539" s="29" t="s">
        <v>1244</v>
      </c>
      <c r="M539" s="21" t="s">
        <v>1253</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1249</v>
      </c>
      <c r="L540" s="29" t="s">
        <v>1244</v>
      </c>
      <c r="M540" s="21" t="s">
        <v>1253</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1246</v>
      </c>
      <c r="L544" s="29" t="s">
        <v>1244</v>
      </c>
      <c r="M544" s="21" t="s">
        <v>1253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1247</v>
      </c>
      <c r="L545" s="29" t="s">
        <v>1244</v>
      </c>
      <c r="M545" s="21" t="s">
        <v>1253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1249</v>
      </c>
      <c r="L546" s="29" t="s">
        <v>1244</v>
      </c>
      <c r="M546" s="21" t="s">
        <v>1253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1243</v>
      </c>
      <c r="L547" s="29" t="s">
        <v>1252</v>
      </c>
      <c r="M547" s="21" t="s">
        <v>1254</v>
      </c>
      <c r="N547" s="48">
        <v>45561</v>
      </c>
      <c r="O547" s="21">
        <f>INDEX(Auxiliar!$D$5:$F$13,MATCH(Table1[[#This Row],[Tipologia_Testes]],Auxiliar!$B$5:$B$13,0),MATCH(Table1[[#This Row],[Complexidade]],Auxiliar!$D$4:$F$4,0))</f>
        <v>8</v>
      </c>
      <c r="P547" s="23" t="s">
        <v>1277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1246</v>
      </c>
      <c r="L548" s="29" t="s">
        <v>1252</v>
      </c>
      <c r="M548" s="21" t="s">
        <v>1245</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1247</v>
      </c>
      <c r="L549" s="29" t="s">
        <v>1252</v>
      </c>
      <c r="M549" s="21" t="s">
        <v>1245</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1249</v>
      </c>
      <c r="L550" s="29" t="s">
        <v>1252</v>
      </c>
      <c r="M550" s="21" t="s">
        <v>1245</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1922</v>
      </c>
      <c r="J590" s="43">
        <f>VLOOKUP(Table1[[#This Row],[Status]],Auxiliar!$B$16:$C$24,2,0)</f>
        <v>3</v>
      </c>
      <c r="K590" s="2" t="s">
        <v>1246</v>
      </c>
      <c r="L590" s="29" t="s">
        <v>1244</v>
      </c>
      <c r="M590" s="21" t="s">
        <v>1245</v>
      </c>
      <c r="N590" s="48">
        <v>45301</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1922</v>
      </c>
      <c r="J591" s="43">
        <f>VLOOKUP(Table1[[#This Row],[Status]],Auxiliar!$B$16:$C$24,2,0)</f>
        <v>3</v>
      </c>
      <c r="K591" s="2" t="s">
        <v>1247</v>
      </c>
      <c r="L591" s="29" t="s">
        <v>1244</v>
      </c>
      <c r="M591" s="21" t="s">
        <v>1245</v>
      </c>
      <c r="N591" s="48">
        <v>45301</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1922</v>
      </c>
      <c r="J592" s="43">
        <f>VLOOKUP(Table1[[#This Row],[Status]],Auxiliar!$B$16:$C$24,2,0)</f>
        <v>3</v>
      </c>
      <c r="K592" s="2" t="s">
        <v>1249</v>
      </c>
      <c r="L592" s="29" t="s">
        <v>1244</v>
      </c>
      <c r="M592" s="21" t="s">
        <v>1245</v>
      </c>
      <c r="N592" s="48">
        <v>45301</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1921</v>
      </c>
      <c r="J593" s="43">
        <f>VLOOKUP(Table1[[#This Row],[Status]],Auxiliar!$B$16:$C$24,2,0)</f>
        <v>2</v>
      </c>
      <c r="K593" s="2" t="s">
        <v>1246</v>
      </c>
      <c r="L593" s="29" t="s">
        <v>1252</v>
      </c>
      <c r="M593" s="21" t="s">
        <v>1254</v>
      </c>
      <c r="N593" s="48">
        <v>45667</v>
      </c>
      <c r="O593" s="21">
        <f>INDEX(Auxiliar!$D$5:$F$13,MATCH(Table1[[#This Row],[Tipologia_Testes]],Auxiliar!$B$5:$B$13,0),MATCH(Table1[[#This Row],[Complexidade]],Auxiliar!$D$4:$F$4,0))</f>
        <v>4</v>
      </c>
      <c r="P593" s="175" t="s">
        <v>1278</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1921</v>
      </c>
      <c r="J594" s="43">
        <f>VLOOKUP(Table1[[#This Row],[Status]],Auxiliar!$B$16:$C$24,2,0)</f>
        <v>2</v>
      </c>
      <c r="K594" s="2" t="s">
        <v>1247</v>
      </c>
      <c r="L594" s="29" t="s">
        <v>1252</v>
      </c>
      <c r="M594" s="21" t="s">
        <v>1254</v>
      </c>
      <c r="N594" s="48">
        <v>45667</v>
      </c>
      <c r="O594" s="21">
        <f>INDEX(Auxiliar!$D$5:$F$13,MATCH(Table1[[#This Row],[Tipologia_Testes]],Auxiliar!$B$5:$B$13,0),MATCH(Table1[[#This Row],[Complexidade]],Auxiliar!$D$4:$F$4,0))</f>
        <v>4</v>
      </c>
      <c r="P594" s="175" t="s">
        <v>1278</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1921</v>
      </c>
      <c r="J595" s="43">
        <f>VLOOKUP(Table1[[#This Row],[Status]],Auxiliar!$B$16:$C$24,2,0)</f>
        <v>2</v>
      </c>
      <c r="K595" s="2" t="s">
        <v>1249</v>
      </c>
      <c r="L595" s="29" t="s">
        <v>1252</v>
      </c>
      <c r="M595" s="21" t="s">
        <v>1254</v>
      </c>
      <c r="N595" s="48">
        <v>45667</v>
      </c>
      <c r="O595" s="21">
        <f>INDEX(Auxiliar!$D$5:$F$13,MATCH(Table1[[#This Row],[Tipologia_Testes]],Auxiliar!$B$5:$B$13,0),MATCH(Table1[[#This Row],[Complexidade]],Auxiliar!$D$4:$F$4,0))</f>
        <v>0.1</v>
      </c>
      <c r="P595" s="175" t="s">
        <v>1278</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1921</v>
      </c>
      <c r="J596" s="43">
        <f>VLOOKUP(Table1[[#This Row],[Status]],Auxiliar!$B$16:$C$24,2,0)</f>
        <v>2</v>
      </c>
      <c r="K596" s="2" t="s">
        <v>1246</v>
      </c>
      <c r="L596" s="29" t="s">
        <v>1252</v>
      </c>
      <c r="M596" s="21" t="s">
        <v>1254</v>
      </c>
      <c r="N596" s="48">
        <v>45667</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1921</v>
      </c>
      <c r="J597" s="43">
        <f>VLOOKUP(Table1[[#This Row],[Status]],Auxiliar!$B$16:$C$24,2,0)</f>
        <v>2</v>
      </c>
      <c r="K597" s="2" t="s">
        <v>1247</v>
      </c>
      <c r="L597" s="29" t="s">
        <v>1252</v>
      </c>
      <c r="M597" s="21" t="s">
        <v>1254</v>
      </c>
      <c r="N597" s="48">
        <v>45667</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1921</v>
      </c>
      <c r="J598" s="43">
        <f>VLOOKUP(Table1[[#This Row],[Status]],Auxiliar!$B$16:$C$24,2,0)</f>
        <v>2</v>
      </c>
      <c r="K598" s="2" t="s">
        <v>1249</v>
      </c>
      <c r="L598" s="29" t="s">
        <v>1252</v>
      </c>
      <c r="M598" s="21" t="s">
        <v>1254</v>
      </c>
      <c r="N598" s="48">
        <v>45667</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1246</v>
      </c>
      <c r="L599" s="29" t="s">
        <v>1244</v>
      </c>
      <c r="M599" s="21" t="s">
        <v>1245</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1247</v>
      </c>
      <c r="L600" s="29" t="s">
        <v>1244</v>
      </c>
      <c r="M600" s="21" t="s">
        <v>1245</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1249</v>
      </c>
      <c r="L601" s="29" t="s">
        <v>1244</v>
      </c>
      <c r="M601" s="21" t="s">
        <v>1245</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613</v>
      </c>
      <c r="J605" s="43">
        <f>VLOOKUP(Table1[[#This Row],[Status]],Auxiliar!$B$16:$C$24,2,0)</f>
        <v>1</v>
      </c>
      <c r="K605" s="2" t="s">
        <v>1246</v>
      </c>
      <c r="L605" s="29" t="s">
        <v>1252</v>
      </c>
      <c r="M605" s="21" t="s">
        <v>1253</v>
      </c>
      <c r="N605" s="48">
        <v>45667</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2</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613</v>
      </c>
      <c r="J606" s="43">
        <f>VLOOKUP(Table1[[#This Row],[Status]],Auxiliar!$B$16:$C$24,2,0)</f>
        <v>1</v>
      </c>
      <c r="K606" s="2" t="s">
        <v>1247</v>
      </c>
      <c r="L606" s="29" t="s">
        <v>1252</v>
      </c>
      <c r="M606" s="21" t="s">
        <v>1253</v>
      </c>
      <c r="N606" s="48">
        <v>45667</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2</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613</v>
      </c>
      <c r="J607" s="43">
        <f>VLOOKUP(Table1[[#This Row],[Status]],Auxiliar!$B$16:$C$24,2,0)</f>
        <v>1</v>
      </c>
      <c r="K607" s="2" t="s">
        <v>1249</v>
      </c>
      <c r="L607" s="29" t="s">
        <v>1252</v>
      </c>
      <c r="M607" s="21" t="s">
        <v>1253</v>
      </c>
      <c r="N607" s="48">
        <v>45667</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1921</v>
      </c>
      <c r="J608" s="43">
        <f>VLOOKUP(Table1[[#This Row],[Status]],Auxiliar!$B$16:$C$24,2,0)</f>
        <v>2</v>
      </c>
      <c r="K608" s="2" t="s">
        <v>1246</v>
      </c>
      <c r="L608" s="29" t="s">
        <v>1252</v>
      </c>
      <c r="M608" s="21" t="s">
        <v>1253</v>
      </c>
      <c r="N608" s="48">
        <v>45667</v>
      </c>
      <c r="O608" s="21">
        <f>INDEX(Auxiliar!$D$5:$F$13,MATCH(Table1[[#This Row],[Tipologia_Testes]],Auxiliar!$B$5:$B$13,0),MATCH(Table1[[#This Row],[Complexidade]],Auxiliar!$D$4:$F$4,0))</f>
        <v>2</v>
      </c>
      <c r="P608" s="175" t="s">
        <v>1278</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1921</v>
      </c>
      <c r="J609" s="43">
        <f>VLOOKUP(Table1[[#This Row],[Status]],Auxiliar!$B$16:$C$24,2,0)</f>
        <v>2</v>
      </c>
      <c r="K609" s="2" t="s">
        <v>1247</v>
      </c>
      <c r="L609" s="29" t="s">
        <v>1252</v>
      </c>
      <c r="M609" s="21" t="s">
        <v>1253</v>
      </c>
      <c r="N609" s="48">
        <v>45667</v>
      </c>
      <c r="O609" s="21">
        <f>INDEX(Auxiliar!$D$5:$F$13,MATCH(Table1[[#This Row],[Tipologia_Testes]],Auxiliar!$B$5:$B$13,0),MATCH(Table1[[#This Row],[Complexidade]],Auxiliar!$D$4:$F$4,0))</f>
        <v>2</v>
      </c>
      <c r="P609" s="175" t="s">
        <v>1278</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1921</v>
      </c>
      <c r="J610" s="43">
        <f>VLOOKUP(Table1[[#This Row],[Status]],Auxiliar!$B$16:$C$24,2,0)</f>
        <v>2</v>
      </c>
      <c r="K610" s="2" t="s">
        <v>1249</v>
      </c>
      <c r="L610" s="29" t="s">
        <v>1252</v>
      </c>
      <c r="M610" s="21" t="s">
        <v>1253</v>
      </c>
      <c r="N610" s="48">
        <v>45667</v>
      </c>
      <c r="O610" s="21">
        <f>INDEX(Auxiliar!$D$5:$F$13,MATCH(Table1[[#This Row],[Tipologia_Testes]],Auxiliar!$B$5:$B$13,0),MATCH(Table1[[#This Row],[Complexidade]],Auxiliar!$D$4:$F$4,0))</f>
        <v>0.1</v>
      </c>
      <c r="P610" s="175" t="s">
        <v>1278</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613</v>
      </c>
      <c r="J611" s="43">
        <f>VLOOKUP(Table1[[#This Row],[Status]],Auxiliar!$B$16:$C$24,2,0)</f>
        <v>1</v>
      </c>
      <c r="K611" s="2" t="s">
        <v>1246</v>
      </c>
      <c r="L611" s="29" t="s">
        <v>1252</v>
      </c>
      <c r="M611" s="21" t="s">
        <v>1253</v>
      </c>
      <c r="N611" s="48">
        <v>45667</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613</v>
      </c>
      <c r="J612" s="43">
        <f>VLOOKUP(Table1[[#This Row],[Status]],Auxiliar!$B$16:$C$24,2,0)</f>
        <v>1</v>
      </c>
      <c r="K612" s="2" t="s">
        <v>1247</v>
      </c>
      <c r="L612" s="29" t="s">
        <v>1252</v>
      </c>
      <c r="M612" s="21" t="s">
        <v>1253</v>
      </c>
      <c r="N612" s="48">
        <v>45667</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613</v>
      </c>
      <c r="J613" s="43">
        <f>VLOOKUP(Table1[[#This Row],[Status]],Auxiliar!$B$16:$C$24,2,0)</f>
        <v>1</v>
      </c>
      <c r="K613" s="2" t="s">
        <v>1249</v>
      </c>
      <c r="L613" s="29" t="s">
        <v>1252</v>
      </c>
      <c r="M613" s="21" t="s">
        <v>1253</v>
      </c>
      <c r="N613" s="48">
        <v>45667</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1246</v>
      </c>
      <c r="L614" s="29" t="s">
        <v>1252</v>
      </c>
      <c r="M614" s="21" t="s">
        <v>1253</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1247</v>
      </c>
      <c r="L615" s="29" t="s">
        <v>1252</v>
      </c>
      <c r="M615" s="21" t="s">
        <v>1253</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1249</v>
      </c>
      <c r="L616" s="29" t="s">
        <v>1252</v>
      </c>
      <c r="M616" s="21" t="s">
        <v>1253</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618</v>
      </c>
      <c r="J620" s="43">
        <f>VLOOKUP(Table1[[#This Row],[Status]],Auxiliar!$B$16:$C$24,2,0)</f>
        <v>7</v>
      </c>
      <c r="K620" s="2" t="s">
        <v>1246</v>
      </c>
      <c r="L620" s="29" t="s">
        <v>1252</v>
      </c>
      <c r="M620" s="21" t="s">
        <v>1253</v>
      </c>
      <c r="N620" s="48">
        <v>45667</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618</v>
      </c>
      <c r="J621" s="43">
        <f>VLOOKUP(Table1[[#This Row],[Status]],Auxiliar!$B$16:$C$24,2,0)</f>
        <v>7</v>
      </c>
      <c r="K621" s="2" t="s">
        <v>1247</v>
      </c>
      <c r="L621" s="29" t="s">
        <v>1252</v>
      </c>
      <c r="M621" s="21" t="s">
        <v>1253</v>
      </c>
      <c r="N621" s="48">
        <v>45667</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618</v>
      </c>
      <c r="J622" s="43">
        <f>VLOOKUP(Table1[[#This Row],[Status]],Auxiliar!$B$16:$C$24,2,0)</f>
        <v>7</v>
      </c>
      <c r="K622" s="2" t="s">
        <v>1249</v>
      </c>
      <c r="L622" s="29" t="s">
        <v>1252</v>
      </c>
      <c r="M622" s="21" t="s">
        <v>1253</v>
      </c>
      <c r="N622" s="48">
        <v>45667</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1246</v>
      </c>
      <c r="L629" s="29" t="s">
        <v>1252</v>
      </c>
      <c r="M629" s="21" t="s">
        <v>1253</v>
      </c>
      <c r="N629" s="48">
        <v>45485</v>
      </c>
      <c r="O629" s="21">
        <f>INDEX(Auxiliar!$D$5:$F$13,MATCH(Table1[[#This Row],[Tipologia_Testes]],Auxiliar!$B$5:$B$13,0),MATCH(Table1[[#This Row],[Complexidade]],Auxiliar!$D$4:$F$4,0))</f>
        <v>2</v>
      </c>
      <c r="P629" s="2"/>
      <c r="Q629" s="2" t="s">
        <v>1263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1247</v>
      </c>
      <c r="L630" s="29" t="s">
        <v>1252</v>
      </c>
      <c r="M630" s="21" t="s">
        <v>1253</v>
      </c>
      <c r="N630" s="48">
        <v>45485</v>
      </c>
      <c r="O630" s="21">
        <f>INDEX(Auxiliar!$D$5:$F$13,MATCH(Table1[[#This Row],[Tipologia_Testes]],Auxiliar!$B$5:$B$13,0),MATCH(Table1[[#This Row],[Complexidade]],Auxiliar!$D$4:$F$4,0))</f>
        <v>2</v>
      </c>
      <c r="P630" s="2"/>
      <c r="Q630" s="2" t="s">
        <v>1263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1249</v>
      </c>
      <c r="L631" s="29" t="s">
        <v>1252</v>
      </c>
      <c r="M631" s="21" t="s">
        <v>1253</v>
      </c>
      <c r="N631" s="48">
        <v>45485</v>
      </c>
      <c r="O631" s="21">
        <f>INDEX(Auxiliar!$D$5:$F$13,MATCH(Table1[[#This Row],[Tipologia_Testes]],Auxiliar!$B$5:$B$13,0),MATCH(Table1[[#This Row],[Complexidade]],Auxiliar!$D$4:$F$4,0))</f>
        <v>0.1</v>
      </c>
      <c r="P631" s="2"/>
      <c r="Q631" s="2" t="s">
        <v>1263</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618</v>
      </c>
      <c r="J632" s="43">
        <f>VLOOKUP(Table1[[#This Row],[Status]],Auxiliar!$B$16:$C$24,2,0)</f>
        <v>7</v>
      </c>
      <c r="K632" s="2" t="s">
        <v>1246</v>
      </c>
      <c r="L632" s="29" t="s">
        <v>1252</v>
      </c>
      <c r="M632" s="21" t="s">
        <v>1254</v>
      </c>
      <c r="N632" s="48">
        <v>45667</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618</v>
      </c>
      <c r="J633" s="43">
        <f>VLOOKUP(Table1[[#This Row],[Status]],Auxiliar!$B$16:$C$24,2,0)</f>
        <v>7</v>
      </c>
      <c r="K633" s="2" t="s">
        <v>1247</v>
      </c>
      <c r="L633" s="29" t="s">
        <v>1252</v>
      </c>
      <c r="M633" s="21" t="s">
        <v>1254</v>
      </c>
      <c r="N633" s="48">
        <v>45667</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618</v>
      </c>
      <c r="J634" s="43">
        <f>VLOOKUP(Table1[[#This Row],[Status]],Auxiliar!$B$16:$C$24,2,0)</f>
        <v>7</v>
      </c>
      <c r="K634" s="2" t="s">
        <v>1249</v>
      </c>
      <c r="L634" s="29" t="s">
        <v>1252</v>
      </c>
      <c r="M634" s="21" t="s">
        <v>1254</v>
      </c>
      <c r="N634" s="48">
        <v>45667</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1246</v>
      </c>
      <c r="L641" s="29" t="s">
        <v>1252</v>
      </c>
      <c r="M641" s="21" t="s">
        <v>1253</v>
      </c>
      <c r="N641" s="48">
        <v>45561</v>
      </c>
      <c r="O641" s="21">
        <f>INDEX(Auxiliar!$D$5:$F$13,MATCH(Table1[[#This Row],[Tipologia_Testes]],Auxiliar!$B$5:$B$13,0),MATCH(Table1[[#This Row],[Complexidade]],Auxiliar!$D$4:$F$4,0))</f>
        <v>2</v>
      </c>
      <c r="P641" s="2" t="s">
        <v>1279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1247</v>
      </c>
      <c r="L642" s="29" t="s">
        <v>1252</v>
      </c>
      <c r="M642" s="21" t="s">
        <v>1253</v>
      </c>
      <c r="N642" s="48">
        <v>45561</v>
      </c>
      <c r="O642" s="21">
        <f>INDEX(Auxiliar!$D$5:$F$13,MATCH(Table1[[#This Row],[Tipologia_Testes]],Auxiliar!$B$5:$B$13,0),MATCH(Table1[[#This Row],[Complexidade]],Auxiliar!$D$4:$F$4,0))</f>
        <v>2</v>
      </c>
      <c r="P642" s="2" t="s">
        <v>1279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1249</v>
      </c>
      <c r="L643" s="29" t="s">
        <v>1252</v>
      </c>
      <c r="M643" s="21" t="s">
        <v>1253</v>
      </c>
      <c r="N643" s="48">
        <v>45561</v>
      </c>
      <c r="O643" s="21">
        <f>INDEX(Auxiliar!$D$5:$F$13,MATCH(Table1[[#This Row],[Tipologia_Testes]],Auxiliar!$B$5:$B$13,0),MATCH(Table1[[#This Row],[Complexidade]],Auxiliar!$D$4:$F$4,0))</f>
        <v>0.1</v>
      </c>
      <c r="P643" s="2" t="s">
        <v>1279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1243</v>
      </c>
      <c r="L644" s="29" t="s">
        <v>1252</v>
      </c>
      <c r="M644" s="21" t="s">
        <v>1253</v>
      </c>
      <c r="N644" s="48">
        <v>45632</v>
      </c>
      <c r="O644" s="21">
        <f>INDEX(Auxiliar!$D$5:$F$13,MATCH(Table1[[#This Row],[Tipologia_Testes]],Auxiliar!$B$5:$B$13,0),MATCH(Table1[[#This Row],[Complexidade]],Auxiliar!$D$4:$F$4,0))</f>
        <v>8</v>
      </c>
      <c r="P644" s="23" t="s">
        <v>1280</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1246</v>
      </c>
      <c r="L645" s="29" t="s">
        <v>1252</v>
      </c>
      <c r="M645" s="21" t="s">
        <v>1253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1247</v>
      </c>
      <c r="L646" s="29" t="s">
        <v>1252</v>
      </c>
      <c r="M646" s="21" t="s">
        <v>1253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1249</v>
      </c>
      <c r="L647" s="29" t="s">
        <v>1252</v>
      </c>
      <c r="M647" s="21" t="s">
        <v>1253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1246</v>
      </c>
      <c r="L657" s="29" t="s">
        <v>1244</v>
      </c>
      <c r="M657" s="21" t="s">
        <v>1254</v>
      </c>
      <c r="N657" s="48">
        <v>45618</v>
      </c>
      <c r="O657" s="21">
        <f>INDEX(Auxiliar!$D$5:$F$13,MATCH(Table1[[#This Row],[Tipologia_Testes]],Auxiliar!$B$5:$B$13,0),MATCH(Table1[[#This Row],[Complexidade]],Auxiliar!$D$4:$F$4,0))</f>
        <v>4</v>
      </c>
      <c r="P657" s="2" t="s">
        <v>1281</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1247</v>
      </c>
      <c r="L658" s="29" t="s">
        <v>1244</v>
      </c>
      <c r="M658" s="21" t="s">
        <v>1254</v>
      </c>
      <c r="N658" s="48">
        <v>45618</v>
      </c>
      <c r="O658" s="21">
        <f>INDEX(Auxiliar!$D$5:$F$13,MATCH(Table1[[#This Row],[Tipologia_Testes]],Auxiliar!$B$5:$B$13,0),MATCH(Table1[[#This Row],[Complexidade]],Auxiliar!$D$4:$F$4,0))</f>
        <v>4</v>
      </c>
      <c r="P658" s="2" t="s">
        <v>1281</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1249</v>
      </c>
      <c r="L659" s="29" t="s">
        <v>1244</v>
      </c>
      <c r="M659" s="21" t="s">
        <v>1254</v>
      </c>
      <c r="N659" s="48">
        <v>45618</v>
      </c>
      <c r="O659" s="21">
        <f>INDEX(Auxiliar!$D$5:$F$13,MATCH(Table1[[#This Row],[Tipologia_Testes]],Auxiliar!$B$5:$B$13,0),MATCH(Table1[[#This Row],[Complexidade]],Auxiliar!$D$4:$F$4,0))</f>
        <v>0.1</v>
      </c>
      <c r="P659" s="2" t="s">
        <v>1281</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1246</v>
      </c>
      <c r="L660" s="29" t="s">
        <v>1244</v>
      </c>
      <c r="M660" s="21" t="s">
        <v>1254</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1247</v>
      </c>
      <c r="L661" s="29" t="s">
        <v>1244</v>
      </c>
      <c r="M661" s="21" t="s">
        <v>1254</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1249</v>
      </c>
      <c r="L662" s="29" t="s">
        <v>1244</v>
      </c>
      <c r="M662" s="21" t="s">
        <v>1254</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1246</v>
      </c>
      <c r="L666" s="29" t="s">
        <v>1244</v>
      </c>
      <c r="M666" s="21" t="s">
        <v>1254</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1247</v>
      </c>
      <c r="L667" s="29" t="s">
        <v>1244</v>
      </c>
      <c r="M667" s="21" t="s">
        <v>1254</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1249</v>
      </c>
      <c r="L668" s="29" t="s">
        <v>1244</v>
      </c>
      <c r="M668" s="21" t="s">
        <v>1254</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1246</v>
      </c>
      <c r="L669" s="29" t="s">
        <v>1252</v>
      </c>
      <c r="M669" s="21" t="s">
        <v>1253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1247</v>
      </c>
      <c r="L670" s="29" t="s">
        <v>1252</v>
      </c>
      <c r="M670" s="21" t="s">
        <v>1253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1249</v>
      </c>
      <c r="L671" s="29" t="s">
        <v>1252</v>
      </c>
      <c r="M671" s="21" t="s">
        <v>1253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1246</v>
      </c>
      <c r="L672" s="29" t="s">
        <v>1244</v>
      </c>
      <c r="M672" s="21" t="s">
        <v>1245</v>
      </c>
      <c r="N672" s="48">
        <v>45632</v>
      </c>
      <c r="O672" s="21">
        <f>INDEX(Auxiliar!$D$5:$F$13,MATCH(Table1[[#This Row],[Tipologia_Testes]],Auxiliar!$B$5:$B$13,0),MATCH(Table1[[#This Row],[Complexidade]],Auxiliar!$D$4:$F$4,0))</f>
        <v>8</v>
      </c>
      <c r="P672" s="23" t="s">
        <v>1282</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1247</v>
      </c>
      <c r="L673" s="29" t="s">
        <v>1244</v>
      </c>
      <c r="M673" s="21" t="s">
        <v>1245</v>
      </c>
      <c r="N673" s="48">
        <v>45632</v>
      </c>
      <c r="O673" s="21">
        <f>INDEX(Auxiliar!$D$5:$F$13,MATCH(Table1[[#This Row],[Tipologia_Testes]],Auxiliar!$B$5:$B$13,0),MATCH(Table1[[#This Row],[Complexidade]],Auxiliar!$D$4:$F$4,0))</f>
        <v>8</v>
      </c>
      <c r="P673" s="23" t="s">
        <v>1282</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1249</v>
      </c>
      <c r="L674" s="29" t="s">
        <v>1244</v>
      </c>
      <c r="M674" s="21" t="s">
        <v>1245</v>
      </c>
      <c r="N674" s="48">
        <v>45632</v>
      </c>
      <c r="O674" s="21">
        <f>INDEX(Auxiliar!$D$5:$F$13,MATCH(Table1[[#This Row],[Tipologia_Testes]],Auxiliar!$B$5:$B$13,0),MATCH(Table1[[#This Row],[Complexidade]],Auxiliar!$D$4:$F$4,0))</f>
        <v>0.1</v>
      </c>
      <c r="P674" s="23" t="s">
        <v>1282</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1246</v>
      </c>
      <c r="L678" s="29" t="s">
        <v>1244</v>
      </c>
      <c r="M678" s="21" t="s">
        <v>1245</v>
      </c>
      <c r="N678" s="48">
        <v>45618</v>
      </c>
      <c r="O678" s="21">
        <f>INDEX(Auxiliar!$D$5:$F$13,MATCH(Table1[[#This Row],[Tipologia_Testes]],Auxiliar!$B$5:$B$13,0),MATCH(Table1[[#This Row],[Complexidade]],Auxiliar!$D$4:$F$4,0))</f>
        <v>8</v>
      </c>
      <c r="P678" s="23" t="s">
        <v>1282</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1247</v>
      </c>
      <c r="L679" s="29" t="s">
        <v>1244</v>
      </c>
      <c r="M679" s="21" t="s">
        <v>1245</v>
      </c>
      <c r="N679" s="48">
        <v>45618</v>
      </c>
      <c r="O679" s="21">
        <f>INDEX(Auxiliar!$D$5:$F$13,MATCH(Table1[[#This Row],[Tipologia_Testes]],Auxiliar!$B$5:$B$13,0),MATCH(Table1[[#This Row],[Complexidade]],Auxiliar!$D$4:$F$4,0))</f>
        <v>8</v>
      </c>
      <c r="P679" s="23" t="s">
        <v>1282</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1249</v>
      </c>
      <c r="L680" s="29" t="s">
        <v>1244</v>
      </c>
      <c r="M680" s="21" t="s">
        <v>1245</v>
      </c>
      <c r="N680" s="48">
        <v>45618</v>
      </c>
      <c r="O680" s="21">
        <f>INDEX(Auxiliar!$D$5:$F$13,MATCH(Table1[[#This Row],[Tipologia_Testes]],Auxiliar!$B$5:$B$13,0),MATCH(Table1[[#This Row],[Complexidade]],Auxiliar!$D$4:$F$4,0))</f>
        <v>0.1</v>
      </c>
      <c r="P680" s="23" t="s">
        <v>1282</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1246</v>
      </c>
      <c r="L681" s="29" t="s">
        <v>1252</v>
      </c>
      <c r="M681" s="21" t="s">
        <v>1253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1247</v>
      </c>
      <c r="L682" s="29" t="s">
        <v>1252</v>
      </c>
      <c r="M682" s="21" t="s">
        <v>1253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1249</v>
      </c>
      <c r="L683" s="29" t="s">
        <v>1252</v>
      </c>
      <c r="M683" s="21" t="s">
        <v>1253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3</v>
      </c>
      <c r="K690" s="2" t="s">
        <v>1243</v>
      </c>
      <c r="L690" s="29" t="s">
        <v>1244</v>
      </c>
      <c r="M690" s="21" t="s">
        <v>1245</v>
      </c>
      <c r="N690" s="48">
        <v>45667</v>
      </c>
      <c r="O690" s="21">
        <f>INDEX(Auxiliar!$D$5:$F$13,MATCH(Table1[[#This Row],[Tipologia_Testes]],Auxiliar!$B$5:$B$13,0),MATCH(Table1[[#This Row],[Complexidade]],Auxiliar!$D$4:$F$4,0))</f>
        <v>8</v>
      </c>
      <c r="P690" s="23" t="s">
        <v>1283</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3</v>
      </c>
      <c r="K691" s="2" t="s">
        <v>1246</v>
      </c>
      <c r="L691" s="29" t="s">
        <v>1252</v>
      </c>
      <c r="M691" s="21" t="s">
        <v>1253</v>
      </c>
      <c r="N691" s="48">
        <v>45667</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3</v>
      </c>
      <c r="K692" s="2" t="s">
        <v>1247</v>
      </c>
      <c r="L692" s="29" t="s">
        <v>1252</v>
      </c>
      <c r="M692" s="21" t="s">
        <v>1253</v>
      </c>
      <c r="N692" s="48">
        <v>45667</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3</v>
      </c>
      <c r="K693" s="2" t="s">
        <v>1249</v>
      </c>
      <c r="L693" s="29" t="s">
        <v>1252</v>
      </c>
      <c r="M693" s="21" t="s">
        <v>1253</v>
      </c>
      <c r="N693" s="48">
        <v>45667</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3</v>
      </c>
      <c r="K694" s="2" t="s">
        <v>1246</v>
      </c>
      <c r="L694" s="29" t="s">
        <v>1252</v>
      </c>
      <c r="M694" s="21" t="s">
        <v>1253</v>
      </c>
      <c r="N694" s="48">
        <v>45667</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3</v>
      </c>
      <c r="K695" s="2" t="s">
        <v>1247</v>
      </c>
      <c r="L695" s="29" t="s">
        <v>1252</v>
      </c>
      <c r="M695" s="21" t="s">
        <v>1253</v>
      </c>
      <c r="N695" s="48">
        <v>45667</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3</v>
      </c>
      <c r="K696" s="2" t="s">
        <v>1249</v>
      </c>
      <c r="L696" s="29" t="s">
        <v>1252</v>
      </c>
      <c r="M696" s="21" t="s">
        <v>1253</v>
      </c>
      <c r="N696" s="48">
        <v>45667</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3</v>
      </c>
      <c r="K697" s="2" t="s">
        <v>1246</v>
      </c>
      <c r="L697" s="29" t="s">
        <v>1252</v>
      </c>
      <c r="M697" s="21" t="s">
        <v>1253</v>
      </c>
      <c r="N697" s="48">
        <v>45667</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3</v>
      </c>
      <c r="K698" s="2" t="s">
        <v>1247</v>
      </c>
      <c r="L698" s="29" t="s">
        <v>1252</v>
      </c>
      <c r="M698" s="21" t="s">
        <v>1253</v>
      </c>
      <c r="N698" s="48">
        <v>45667</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3</v>
      </c>
      <c r="K699" s="2" t="s">
        <v>1249</v>
      </c>
      <c r="L699" s="29" t="s">
        <v>1252</v>
      </c>
      <c r="M699" s="21" t="s">
        <v>1253</v>
      </c>
      <c r="N699" s="48">
        <v>45667</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3</v>
      </c>
      <c r="K700" s="2" t="s">
        <v>1246</v>
      </c>
      <c r="L700" s="29" t="s">
        <v>1244</v>
      </c>
      <c r="M700" s="21" t="s">
        <v>1253</v>
      </c>
      <c r="N700" s="48">
        <v>45667</v>
      </c>
      <c r="O700" s="21">
        <f>INDEX(Auxiliar!$D$5:$F$13,MATCH(Table1[[#This Row],[Tipologia_Testes]],Auxiliar!$B$5:$B$13,0),MATCH(Table1[[#This Row],[Complexidade]],Auxiliar!$D$4:$F$4,0))</f>
        <v>2</v>
      </c>
      <c r="P700" s="2" t="s">
        <v>1284</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3</v>
      </c>
      <c r="K701" s="2" t="s">
        <v>1247</v>
      </c>
      <c r="L701" s="29" t="s">
        <v>1244</v>
      </c>
      <c r="M701" s="21" t="s">
        <v>1253</v>
      </c>
      <c r="N701" s="48">
        <v>45667</v>
      </c>
      <c r="O701" s="21">
        <f>INDEX(Auxiliar!$D$5:$F$13,MATCH(Table1[[#This Row],[Tipologia_Testes]],Auxiliar!$B$5:$B$13,0),MATCH(Table1[[#This Row],[Complexidade]],Auxiliar!$D$4:$F$4,0))</f>
        <v>2</v>
      </c>
      <c r="P701" s="2" t="s">
        <v>1284</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3</v>
      </c>
      <c r="K702" s="2" t="s">
        <v>1249</v>
      </c>
      <c r="L702" s="29" t="s">
        <v>1244</v>
      </c>
      <c r="M702" s="21" t="s">
        <v>1253</v>
      </c>
      <c r="N702" s="48">
        <v>45667</v>
      </c>
      <c r="O702" s="21">
        <f>INDEX(Auxiliar!$D$5:$F$13,MATCH(Table1[[#This Row],[Tipologia_Testes]],Auxiliar!$B$5:$B$13,0),MATCH(Table1[[#This Row],[Complexidade]],Auxiliar!$D$4:$F$4,0))</f>
        <v>0.1</v>
      </c>
      <c r="P702" s="2" t="s">
        <v>1284</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1246</v>
      </c>
      <c r="L703" s="29" t="s">
        <v>1285</v>
      </c>
      <c r="M703" s="21" t="s">
        <v>1253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1247</v>
      </c>
      <c r="L704" s="29" t="s">
        <v>1285</v>
      </c>
      <c r="M704" s="21" t="s">
        <v>1253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1249</v>
      </c>
      <c r="L705" s="29" t="s">
        <v>1285</v>
      </c>
      <c r="M705" s="21" t="s">
        <v>1253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3</v>
      </c>
      <c r="K706" s="2" t="s">
        <v>1246</v>
      </c>
      <c r="L706" s="29" t="s">
        <v>1244</v>
      </c>
      <c r="M706" s="21" t="s">
        <v>1245</v>
      </c>
      <c r="N706" s="48">
        <v>45667</v>
      </c>
      <c r="O706" s="21">
        <f>INDEX(Auxiliar!$D$5:$F$13,MATCH(Table1[[#This Row],[Tipologia_Testes]],Auxiliar!$B$5:$B$13,0),MATCH(Table1[[#This Row],[Complexidade]],Auxiliar!$D$4:$F$4,0))</f>
        <v>8</v>
      </c>
      <c r="P706" s="23" t="s">
        <v>1286</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3</v>
      </c>
      <c r="K707" s="2" t="s">
        <v>1247</v>
      </c>
      <c r="L707" s="29" t="s">
        <v>1244</v>
      </c>
      <c r="M707" s="21" t="s">
        <v>1245</v>
      </c>
      <c r="N707" s="48">
        <v>45667</v>
      </c>
      <c r="O707" s="21">
        <f>INDEX(Auxiliar!$D$5:$F$13,MATCH(Table1[[#This Row],[Tipologia_Testes]],Auxiliar!$B$5:$B$13,0),MATCH(Table1[[#This Row],[Complexidade]],Auxiliar!$D$4:$F$4,0))</f>
        <v>8</v>
      </c>
      <c r="P707" s="23" t="s">
        <v>1286</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3</v>
      </c>
      <c r="K708" s="2" t="s">
        <v>1249</v>
      </c>
      <c r="L708" s="29" t="s">
        <v>1244</v>
      </c>
      <c r="M708" s="21" t="s">
        <v>1245</v>
      </c>
      <c r="N708" s="48">
        <v>45667</v>
      </c>
      <c r="O708" s="21">
        <f>INDEX(Auxiliar!$D$5:$F$13,MATCH(Table1[[#This Row],[Tipologia_Testes]],Auxiliar!$B$5:$B$13,0),MATCH(Table1[[#This Row],[Complexidade]],Auxiliar!$D$4:$F$4,0))</f>
        <v>0.1</v>
      </c>
      <c r="P708" s="23" t="s">
        <v>1286</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3</v>
      </c>
      <c r="K709" s="2" t="s">
        <v>1246</v>
      </c>
      <c r="L709" s="29" t="s">
        <v>1244</v>
      </c>
      <c r="M709" s="21" t="s">
        <v>1245</v>
      </c>
      <c r="N709" s="48">
        <v>45667</v>
      </c>
      <c r="O709" s="21">
        <f>INDEX(Auxiliar!$D$5:$F$13,MATCH(Table1[[#This Row],[Tipologia_Testes]],Auxiliar!$B$5:$B$13,0),MATCH(Table1[[#This Row],[Complexidade]],Auxiliar!$D$4:$F$4,0))</f>
        <v>8</v>
      </c>
      <c r="P709" s="23" t="s">
        <v>1287</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3</v>
      </c>
      <c r="K710" s="2" t="s">
        <v>1247</v>
      </c>
      <c r="L710" s="29" t="s">
        <v>1244</v>
      </c>
      <c r="M710" s="21" t="s">
        <v>1245</v>
      </c>
      <c r="N710" s="48">
        <v>45667</v>
      </c>
      <c r="O710" s="21">
        <f>INDEX(Auxiliar!$D$5:$F$13,MATCH(Table1[[#This Row],[Tipologia_Testes]],Auxiliar!$B$5:$B$13,0),MATCH(Table1[[#This Row],[Complexidade]],Auxiliar!$D$4:$F$4,0))</f>
        <v>8</v>
      </c>
      <c r="P710" s="23" t="s">
        <v>1287</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3</v>
      </c>
      <c r="K711" s="2" t="s">
        <v>1249</v>
      </c>
      <c r="L711" s="29" t="s">
        <v>1244</v>
      </c>
      <c r="M711" s="21" t="s">
        <v>1245</v>
      </c>
      <c r="N711" s="48">
        <v>45667</v>
      </c>
      <c r="O711" s="21">
        <f>INDEX(Auxiliar!$D$5:$F$13,MATCH(Table1[[#This Row],[Tipologia_Testes]],Auxiliar!$B$5:$B$13,0),MATCH(Table1[[#This Row],[Complexidade]],Auxiliar!$D$4:$F$4,0))</f>
        <v>0.1</v>
      </c>
      <c r="P711" s="23" t="s">
        <v>1287</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3</v>
      </c>
      <c r="K712" s="2" t="s">
        <v>1246</v>
      </c>
      <c r="L712" s="29" t="s">
        <v>1244</v>
      </c>
      <c r="M712" s="21" t="s">
        <v>1254</v>
      </c>
      <c r="N712" s="48">
        <v>45667</v>
      </c>
      <c r="O712" s="21">
        <f>INDEX(Auxiliar!$D$5:$F$13,MATCH(Table1[[#This Row],[Tipologia_Testes]],Auxiliar!$B$5:$B$13,0),MATCH(Table1[[#This Row],[Complexidade]],Auxiliar!$D$4:$F$4,0))</f>
        <v>4</v>
      </c>
      <c r="P712" s="2" t="s">
        <v>1288</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3</v>
      </c>
      <c r="K713" s="2" t="s">
        <v>1247</v>
      </c>
      <c r="L713" s="29" t="s">
        <v>1244</v>
      </c>
      <c r="M713" s="21" t="s">
        <v>1254</v>
      </c>
      <c r="N713" s="48">
        <v>45667</v>
      </c>
      <c r="O713" s="21">
        <f>INDEX(Auxiliar!$D$5:$F$13,MATCH(Table1[[#This Row],[Tipologia_Testes]],Auxiliar!$B$5:$B$13,0),MATCH(Table1[[#This Row],[Complexidade]],Auxiliar!$D$4:$F$4,0))</f>
        <v>4</v>
      </c>
      <c r="P713" s="2" t="s">
        <v>1288</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3</v>
      </c>
      <c r="K714" s="2" t="s">
        <v>1249</v>
      </c>
      <c r="L714" s="29" t="s">
        <v>1244</v>
      </c>
      <c r="M714" s="21" t="s">
        <v>1254</v>
      </c>
      <c r="N714" s="48">
        <v>45667</v>
      </c>
      <c r="O714" s="21">
        <f>INDEX(Auxiliar!$D$5:$F$13,MATCH(Table1[[#This Row],[Tipologia_Testes]],Auxiliar!$B$5:$B$13,0),MATCH(Table1[[#This Row],[Complexidade]],Auxiliar!$D$4:$F$4,0))</f>
        <v>0.1</v>
      </c>
      <c r="P714" s="2" t="s">
        <v>1288</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3</v>
      </c>
      <c r="K715" s="2" t="s">
        <v>1246</v>
      </c>
      <c r="L715" s="29" t="s">
        <v>1252</v>
      </c>
      <c r="M715" s="21" t="s">
        <v>1254</v>
      </c>
      <c r="N715" s="48">
        <v>45667</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3</v>
      </c>
      <c r="K716" s="2" t="s">
        <v>1247</v>
      </c>
      <c r="L716" s="29" t="s">
        <v>1252</v>
      </c>
      <c r="M716" s="21" t="s">
        <v>1254</v>
      </c>
      <c r="N716" s="48">
        <v>45667</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3</v>
      </c>
      <c r="K717" s="2" t="s">
        <v>1249</v>
      </c>
      <c r="L717" s="29" t="s">
        <v>1252</v>
      </c>
      <c r="M717" s="21" t="s">
        <v>1254</v>
      </c>
      <c r="N717" s="48">
        <v>45667</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3</v>
      </c>
      <c r="K718" s="2" t="s">
        <v>1246</v>
      </c>
      <c r="L718" s="29" t="s">
        <v>1244</v>
      </c>
      <c r="M718" s="21" t="s">
        <v>1254</v>
      </c>
      <c r="N718" s="48">
        <v>45667</v>
      </c>
      <c r="O718" s="21">
        <f>INDEX(Auxiliar!$D$5:$F$13,MATCH(Table1[[#This Row],[Tipologia_Testes]],Auxiliar!$B$5:$B$13,0),MATCH(Table1[[#This Row],[Complexidade]],Auxiliar!$D$4:$F$4,0))</f>
        <v>4</v>
      </c>
      <c r="P718" s="2" t="s">
        <v>1288</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3</v>
      </c>
      <c r="K719" s="2" t="s">
        <v>1247</v>
      </c>
      <c r="L719" s="29" t="s">
        <v>1244</v>
      </c>
      <c r="M719" s="21" t="s">
        <v>1254</v>
      </c>
      <c r="N719" s="48">
        <v>45667</v>
      </c>
      <c r="O719" s="21">
        <f>INDEX(Auxiliar!$D$5:$F$13,MATCH(Table1[[#This Row],[Tipologia_Testes]],Auxiliar!$B$5:$B$13,0),MATCH(Table1[[#This Row],[Complexidade]],Auxiliar!$D$4:$F$4,0))</f>
        <v>4</v>
      </c>
      <c r="P719" s="2" t="s">
        <v>1288</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3</v>
      </c>
      <c r="K720" s="2" t="s">
        <v>1249</v>
      </c>
      <c r="L720" s="29" t="s">
        <v>1244</v>
      </c>
      <c r="M720" s="21" t="s">
        <v>1254</v>
      </c>
      <c r="N720" s="48">
        <v>45667</v>
      </c>
      <c r="O720" s="21">
        <f>INDEX(Auxiliar!$D$5:$F$13,MATCH(Table1[[#This Row],[Tipologia_Testes]],Auxiliar!$B$5:$B$13,0),MATCH(Table1[[#This Row],[Complexidade]],Auxiliar!$D$4:$F$4,0))</f>
        <v>0.1</v>
      </c>
      <c r="P720" s="2" t="s">
        <v>1288</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3</v>
      </c>
      <c r="K721" s="2" t="s">
        <v>1246</v>
      </c>
      <c r="L721" s="29" t="s">
        <v>1244</v>
      </c>
      <c r="M721" s="21" t="s">
        <v>1254</v>
      </c>
      <c r="N721" s="48">
        <v>45667</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3</v>
      </c>
      <c r="K722" s="2" t="s">
        <v>1247</v>
      </c>
      <c r="L722" s="29" t="s">
        <v>1244</v>
      </c>
      <c r="M722" s="21" t="s">
        <v>1254</v>
      </c>
      <c r="N722" s="48">
        <v>45667</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3</v>
      </c>
      <c r="K723" s="2" t="s">
        <v>1249</v>
      </c>
      <c r="L723" s="29" t="s">
        <v>1244</v>
      </c>
      <c r="M723" s="21" t="s">
        <v>1254</v>
      </c>
      <c r="N723" s="48">
        <v>45667</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1246</v>
      </c>
      <c r="L724" s="29" t="s">
        <v>1252</v>
      </c>
      <c r="M724" s="21" t="s">
        <v>1253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1247</v>
      </c>
      <c r="L725" s="29" t="s">
        <v>1252</v>
      </c>
      <c r="M725" s="21" t="s">
        <v>1253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1249</v>
      </c>
      <c r="L726" s="29" t="s">
        <v>1252</v>
      </c>
      <c r="M726" s="21" t="s">
        <v>1253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3</v>
      </c>
      <c r="K727" s="2" t="s">
        <v>1246</v>
      </c>
      <c r="L727" s="29" t="s">
        <v>1252</v>
      </c>
      <c r="M727" s="21" t="s">
        <v>1253</v>
      </c>
      <c r="N727" s="48">
        <v>45667</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3</v>
      </c>
      <c r="K728" s="2" t="s">
        <v>1247</v>
      </c>
      <c r="L728" s="29" t="s">
        <v>1252</v>
      </c>
      <c r="M728" s="21" t="s">
        <v>1253</v>
      </c>
      <c r="N728" s="48">
        <v>45667</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3</v>
      </c>
      <c r="K729" s="2" t="s">
        <v>1249</v>
      </c>
      <c r="L729" s="29" t="s">
        <v>1252</v>
      </c>
      <c r="M729" s="21" t="s">
        <v>1253</v>
      </c>
      <c r="N729" s="48">
        <v>45667</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3</v>
      </c>
      <c r="K730" s="2" t="s">
        <v>1246</v>
      </c>
      <c r="L730" s="29" t="s">
        <v>1252</v>
      </c>
      <c r="M730" s="21" t="s">
        <v>1254</v>
      </c>
      <c r="N730" s="48">
        <v>45667</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3</v>
      </c>
      <c r="K731" s="2" t="s">
        <v>1247</v>
      </c>
      <c r="L731" s="29" t="s">
        <v>1252</v>
      </c>
      <c r="M731" s="21" t="s">
        <v>1254</v>
      </c>
      <c r="N731" s="48">
        <v>45667</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3</v>
      </c>
      <c r="K732" s="2" t="s">
        <v>1249</v>
      </c>
      <c r="L732" s="29" t="s">
        <v>1252</v>
      </c>
      <c r="M732" s="21" t="s">
        <v>1254</v>
      </c>
      <c r="N732" s="48">
        <v>45667</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1289</v>
      </c>
      <c r="E733" s="2" t="s">
        <v>38</v>
      </c>
      <c r="F733" s="2" t="s">
        <v>182</v>
      </c>
      <c r="G733" s="2" t="s">
        <v>38</v>
      </c>
      <c r="H733" s="57" t="str">
        <f>Table1[[#This Row],[Tabela]]&amp;Table1[[#This Row],[Campo]]</f>
        <v>modesg_param_sfcs_taxon_europeian.a.</v>
      </c>
      <c r="I733" s="2" t="s">
        <v>613</v>
      </c>
      <c r="J733" s="43">
        <f>VLOOKUP(Table1[[#This Row],[Status]],Auxiliar!$B$16:$C$24,2,0)</f>
        <v>1</v>
      </c>
      <c r="K733" s="2" t="s">
        <v>1243</v>
      </c>
      <c r="L733" s="29" t="s">
        <v>1252</v>
      </c>
      <c r="M733" s="21" t="s">
        <v>1245</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1289</v>
      </c>
      <c r="E734" s="2" t="s">
        <v>38</v>
      </c>
      <c r="F734" s="2" t="s">
        <v>182</v>
      </c>
      <c r="G734" s="2" t="s">
        <v>38</v>
      </c>
      <c r="H734" s="57" t="str">
        <f>Table1[[#This Row],[Tabela]]&amp;Table1[[#This Row],[Campo]]</f>
        <v>modesg_param_sfcs_taxon_europeian.a.</v>
      </c>
      <c r="I734" s="2" t="s">
        <v>613</v>
      </c>
      <c r="J734" s="43">
        <f>VLOOKUP(Table1[[#This Row],[Status]],Auxiliar!$B$16:$C$24,2,0)</f>
        <v>1</v>
      </c>
      <c r="K734" s="2" t="s">
        <v>1290</v>
      </c>
      <c r="L734" s="29" t="s">
        <v>1252</v>
      </c>
      <c r="M734" s="21" t="s">
        <v>1253</v>
      </c>
      <c r="N734" s="48">
        <v>45611</v>
      </c>
      <c r="O734" s="21">
        <f>INDEX(Auxiliar!$D$5:$F$13,MATCH(Table1[[#This Row],[Tipologia_Testes]],Auxiliar!$B$5:$B$13,0),MATCH(Table1[[#This Row],[Complexidade]],Auxiliar!$D$4:$F$4,0))</f>
        <v>0.5</v>
      </c>
      <c r="P734" s="23" t="s">
        <v>1291</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1289</v>
      </c>
      <c r="E735" s="2" t="s">
        <v>38</v>
      </c>
      <c r="F735" s="2" t="s">
        <v>182</v>
      </c>
      <c r="G735" s="2" t="s">
        <v>183</v>
      </c>
      <c r="H735" s="57" t="str">
        <f>Table1[[#This Row],[Tabela]]&amp;Table1[[#This Row],[Campo]]</f>
        <v>modesg_param_sfcs_taxon_europeiacbalcao</v>
      </c>
      <c r="I735" s="3" t="s">
        <v>613</v>
      </c>
      <c r="J735" s="55">
        <f>VLOOKUP(Table1[[#This Row],[Status]],Auxiliar!$B$16:$C$24,2,0)</f>
        <v>1</v>
      </c>
      <c r="K735" s="2" t="s">
        <v>1257</v>
      </c>
      <c r="L735" s="29" t="s">
        <v>1252</v>
      </c>
      <c r="M735" s="21" t="s">
        <v>1253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1289</v>
      </c>
      <c r="E736" s="2" t="s">
        <v>38</v>
      </c>
      <c r="F736" s="2" t="s">
        <v>182</v>
      </c>
      <c r="G736" s="2" t="s">
        <v>183</v>
      </c>
      <c r="H736" s="57" t="str">
        <f>Table1[[#This Row],[Tabela]]&amp;Table1[[#This Row],[Campo]]</f>
        <v>modesg_param_sfcs_taxon_europeiacbalcao</v>
      </c>
      <c r="I736" s="3" t="s">
        <v>613</v>
      </c>
      <c r="J736" s="55">
        <f>VLOOKUP(Table1[[#This Row],[Status]],Auxiliar!$B$16:$C$24,2,0)</f>
        <v>1</v>
      </c>
      <c r="K736" s="2" t="s">
        <v>1249</v>
      </c>
      <c r="L736" s="29" t="s">
        <v>1252</v>
      </c>
      <c r="M736" s="21" t="s">
        <v>1253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1289</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1257</v>
      </c>
      <c r="L737" s="29" t="s">
        <v>1252</v>
      </c>
      <c r="M737" s="21" t="s">
        <v>1253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184</v>
      </c>
      <c r="H738" s="57" t="str">
        <f>Table1[[#This Row],[Tabela]]&amp;Table1[[#This Row],[Campo]]</f>
        <v>modesg_param_sfcs_taxon_europeiacempresa</v>
      </c>
      <c r="I738" s="3" t="s">
        <v>613</v>
      </c>
      <c r="J738" s="55">
        <f>VLOOKUP(Table1[[#This Row],[Status]],Auxiliar!$B$16:$C$24,2,0)</f>
        <v>1</v>
      </c>
      <c r="K738" s="2" t="s">
        <v>1249</v>
      </c>
      <c r="L738" s="29" t="s">
        <v>1252</v>
      </c>
      <c r="M738" s="21" t="s">
        <v>1253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1289</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1257</v>
      </c>
      <c r="L739" s="29" t="s">
        <v>1252</v>
      </c>
      <c r="M739" s="21" t="s">
        <v>1253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1289</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1249</v>
      </c>
      <c r="L740" s="29" t="s">
        <v>1252</v>
      </c>
      <c r="M740" s="21" t="s">
        <v>1253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1289</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1257</v>
      </c>
      <c r="L741" s="29" t="s">
        <v>1252</v>
      </c>
      <c r="M741" s="21" t="s">
        <v>1253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1289</v>
      </c>
      <c r="E742" s="2" t="s">
        <v>38</v>
      </c>
      <c r="F742" s="2" t="s">
        <v>182</v>
      </c>
      <c r="G742" s="2" t="s">
        <v>186</v>
      </c>
      <c r="H742" s="57" t="str">
        <f>Table1[[#This Row],[Tabela]]&amp;Table1[[#This Row],[Campo]]</f>
        <v>modesg_param_sfcs_taxon_europeiackprodmi</v>
      </c>
      <c r="I742" s="3" t="s">
        <v>613</v>
      </c>
      <c r="J742" s="55">
        <f>VLOOKUP(Table1[[#This Row],[Status]],Auxiliar!$B$16:$C$24,2,0)</f>
        <v>1</v>
      </c>
      <c r="K742" s="2" t="s">
        <v>1249</v>
      </c>
      <c r="L742" s="29" t="s">
        <v>1252</v>
      </c>
      <c r="M742" s="21" t="s">
        <v>1253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1289</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1257</v>
      </c>
      <c r="L743" s="29" t="s">
        <v>1252</v>
      </c>
      <c r="M743" s="21" t="s">
        <v>1253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1289</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1249</v>
      </c>
      <c r="L744" s="29" t="s">
        <v>1252</v>
      </c>
      <c r="M744" s="21" t="s">
        <v>1253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1289</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1257</v>
      </c>
      <c r="L745" s="29" t="s">
        <v>1252</v>
      </c>
      <c r="M745" s="21" t="s">
        <v>1253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1289</v>
      </c>
      <c r="E746" s="2" t="s">
        <v>38</v>
      </c>
      <c r="F746" s="2" t="s">
        <v>182</v>
      </c>
      <c r="G746" s="2" t="s">
        <v>188</v>
      </c>
      <c r="H746" s="57" t="str">
        <f>Table1[[#This Row],[Tabela]]&amp;Table1[[#This Row],[Campo]]</f>
        <v>modesg_param_sfcs_taxon_europeiacnsm_co2</v>
      </c>
      <c r="I746" s="3" t="s">
        <v>613</v>
      </c>
      <c r="J746" s="55">
        <f>VLOOKUP(Table1[[#This Row],[Status]],Auxiliar!$B$16:$C$24,2,0)</f>
        <v>1</v>
      </c>
      <c r="K746" s="2" t="s">
        <v>1249</v>
      </c>
      <c r="L746" s="29" t="s">
        <v>1252</v>
      </c>
      <c r="M746" s="21" t="s">
        <v>1253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1289</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1257</v>
      </c>
      <c r="L747" s="29" t="s">
        <v>1252</v>
      </c>
      <c r="M747" s="21" t="s">
        <v>1253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1289</v>
      </c>
      <c r="E748" s="2" t="s">
        <v>38</v>
      </c>
      <c r="F748" s="2" t="s">
        <v>182</v>
      </c>
      <c r="G748" s="2" t="s">
        <v>189</v>
      </c>
      <c r="H748" s="57" t="str">
        <f>Table1[[#This Row],[Tabela]]&amp;Table1[[#This Row],[Campo]]</f>
        <v>modesg_param_sfcs_taxon_europeiacnumecta</v>
      </c>
      <c r="I748" s="3" t="s">
        <v>613</v>
      </c>
      <c r="J748" s="55">
        <f>VLOOKUP(Table1[[#This Row],[Status]],Auxiliar!$B$16:$C$24,2,0)</f>
        <v>1</v>
      </c>
      <c r="K748" s="2" t="s">
        <v>1249</v>
      </c>
      <c r="L748" s="29" t="s">
        <v>1252</v>
      </c>
      <c r="M748" s="21" t="s">
        <v>1253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1289</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1257</v>
      </c>
      <c r="L749" s="29" t="s">
        <v>1252</v>
      </c>
      <c r="M749" s="21" t="s">
        <v>1253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1289</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1249</v>
      </c>
      <c r="L750" s="29" t="s">
        <v>1252</v>
      </c>
      <c r="M750" s="21" t="s">
        <v>1253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1289</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1257</v>
      </c>
      <c r="L751" s="29" t="s">
        <v>1244</v>
      </c>
      <c r="M751" s="21" t="s">
        <v>1253</v>
      </c>
      <c r="N751" s="48">
        <v>45611</v>
      </c>
      <c r="O751" s="21">
        <f>INDEX(Auxiliar!$D$5:$F$13,MATCH(Table1[[#This Row],[Tipologia_Testes]],Auxiliar!$B$5:$B$13,0),MATCH(Table1[[#This Row],[Complexidade]],Auxiliar!$D$4:$F$4,0))</f>
        <v>0.5</v>
      </c>
      <c r="P751" s="2" t="s">
        <v>1292</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1289</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1249</v>
      </c>
      <c r="L752" s="29" t="s">
        <v>1244</v>
      </c>
      <c r="M752" s="21" t="s">
        <v>1253</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1289</v>
      </c>
      <c r="E753" s="2" t="s">
        <v>38</v>
      </c>
      <c r="F753" s="2" t="s">
        <v>182</v>
      </c>
      <c r="G753" s="2" t="s">
        <v>192</v>
      </c>
      <c r="H753" s="57" t="str">
        <f>Table1[[#This Row],[Tabela]]&amp;Table1[[#This Row],[Campo]]</f>
        <v>modesg_param_sfcs_taxon_europeiacomite</v>
      </c>
      <c r="I753" s="2" t="s">
        <v>613</v>
      </c>
      <c r="J753" s="43">
        <f>VLOOKUP(Table1[[#This Row],[Status]],Auxiliar!$B$16:$C$24,2,0)</f>
        <v>1</v>
      </c>
      <c r="K753" s="2" t="s">
        <v>1257</v>
      </c>
      <c r="L753" s="29" t="s">
        <v>1252</v>
      </c>
      <c r="M753" s="21" t="s">
        <v>1253</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1289</v>
      </c>
      <c r="E754" s="2" t="s">
        <v>38</v>
      </c>
      <c r="F754" s="2" t="s">
        <v>182</v>
      </c>
      <c r="G754" s="2" t="s">
        <v>192</v>
      </c>
      <c r="H754" s="57" t="str">
        <f>Table1[[#This Row],[Tabela]]&amp;Table1[[#This Row],[Campo]]</f>
        <v>modesg_param_sfcs_taxon_europeiacomite</v>
      </c>
      <c r="I754" s="2" t="s">
        <v>613</v>
      </c>
      <c r="J754" s="43">
        <f>VLOOKUP(Table1[[#This Row],[Status]],Auxiliar!$B$16:$C$24,2,0)</f>
        <v>1</v>
      </c>
      <c r="K754" s="2" t="s">
        <v>1249</v>
      </c>
      <c r="L754" s="29" t="s">
        <v>1252</v>
      </c>
      <c r="M754" s="21" t="s">
        <v>1253</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1289</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1257</v>
      </c>
      <c r="L755" s="29" t="s">
        <v>1252</v>
      </c>
      <c r="M755" s="21" t="s">
        <v>1253</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1289</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1249</v>
      </c>
      <c r="L756" s="29" t="s">
        <v>1252</v>
      </c>
      <c r="M756" s="21" t="s">
        <v>1253</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1289</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1257</v>
      </c>
      <c r="L757" s="29" t="s">
        <v>1252</v>
      </c>
      <c r="M757" s="21" t="s">
        <v>1253</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1289</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1249</v>
      </c>
      <c r="L758" s="29" t="s">
        <v>1252</v>
      </c>
      <c r="M758" s="21" t="s">
        <v>1253</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1289</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1257</v>
      </c>
      <c r="L759" s="29" t="s">
        <v>1252</v>
      </c>
      <c r="M759" s="21" t="s">
        <v>1253</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1289</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1249</v>
      </c>
      <c r="L760" s="29" t="s">
        <v>1252</v>
      </c>
      <c r="M760" s="21" t="s">
        <v>1253</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1289</v>
      </c>
      <c r="E761" s="2" t="s">
        <v>38</v>
      </c>
      <c r="F761" s="2" t="s">
        <v>182</v>
      </c>
      <c r="G761" s="2" t="s">
        <v>196</v>
      </c>
      <c r="H761" s="57" t="str">
        <f>Table1[[#This Row],[Tabela]]&amp;Table1[[#This Row],[Campo]]</f>
        <v>modesg_param_sfcs_taxon_europeiadominio</v>
      </c>
      <c r="I761" s="3" t="s">
        <v>613</v>
      </c>
      <c r="J761" s="55">
        <f>VLOOKUP(Table1[[#This Row],[Status]],Auxiliar!$B$16:$C$24,2,0)</f>
        <v>1</v>
      </c>
      <c r="K761" s="2" t="s">
        <v>1257</v>
      </c>
      <c r="L761" s="29" t="s">
        <v>1252</v>
      </c>
      <c r="M761" s="21" t="s">
        <v>1253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1289</v>
      </c>
      <c r="E762" s="2" t="s">
        <v>38</v>
      </c>
      <c r="F762" s="2" t="s">
        <v>182</v>
      </c>
      <c r="G762" s="2" t="s">
        <v>196</v>
      </c>
      <c r="H762" s="57" t="str">
        <f>Table1[[#This Row],[Tabela]]&amp;Table1[[#This Row],[Campo]]</f>
        <v>modesg_param_sfcs_taxon_europeiadominio</v>
      </c>
      <c r="I762" s="3" t="s">
        <v>613</v>
      </c>
      <c r="J762" s="55">
        <f>VLOOKUP(Table1[[#This Row],[Status]],Auxiliar!$B$16:$C$24,2,0)</f>
        <v>1</v>
      </c>
      <c r="K762" s="2" t="s">
        <v>1249</v>
      </c>
      <c r="L762" s="29" t="s">
        <v>1252</v>
      </c>
      <c r="M762" s="21" t="s">
        <v>1253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1289</v>
      </c>
      <c r="E763" s="2" t="s">
        <v>38</v>
      </c>
      <c r="F763" s="2" t="s">
        <v>182</v>
      </c>
      <c r="G763" s="2" t="s">
        <v>197</v>
      </c>
      <c r="H763" s="57" t="str">
        <f>Table1[[#This Row],[Tabela]]&amp;Table1[[#This Row],[Campo]]</f>
        <v>modesg_param_sfcs_taxon_europeiadscrc</v>
      </c>
      <c r="I763" s="3" t="s">
        <v>613</v>
      </c>
      <c r="J763" s="55">
        <f>VLOOKUP(Table1[[#This Row],[Status]],Auxiliar!$B$16:$C$24,2,0)</f>
        <v>1</v>
      </c>
      <c r="K763" s="2" t="s">
        <v>1257</v>
      </c>
      <c r="L763" s="29" t="s">
        <v>1252</v>
      </c>
      <c r="M763" s="21" t="s">
        <v>1253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1289</v>
      </c>
      <c r="E764" s="2" t="s">
        <v>38</v>
      </c>
      <c r="F764" s="2" t="s">
        <v>182</v>
      </c>
      <c r="G764" s="2" t="s">
        <v>197</v>
      </c>
      <c r="H764" s="57" t="str">
        <f>Table1[[#This Row],[Tabela]]&amp;Table1[[#This Row],[Campo]]</f>
        <v>modesg_param_sfcs_taxon_europeiadscrc</v>
      </c>
      <c r="I764" s="3" t="s">
        <v>613</v>
      </c>
      <c r="J764" s="55">
        <f>VLOOKUP(Table1[[#This Row],[Status]],Auxiliar!$B$16:$C$24,2,0)</f>
        <v>1</v>
      </c>
      <c r="K764" s="2" t="s">
        <v>1249</v>
      </c>
      <c r="L764" s="29" t="s">
        <v>1252</v>
      </c>
      <c r="M764" s="21" t="s">
        <v>1253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1289</v>
      </c>
      <c r="E765" s="2" t="s">
        <v>38</v>
      </c>
      <c r="F765" s="2" t="s">
        <v>182</v>
      </c>
      <c r="G765" s="2" t="s">
        <v>198</v>
      </c>
      <c r="H765" s="57" t="str">
        <f>Table1[[#This Row],[Tabela]]&amp;Table1[[#This Row],[Campo]]</f>
        <v>modesg_param_sfcs_taxon_europeiaepc</v>
      </c>
      <c r="I765" s="3" t="s">
        <v>613</v>
      </c>
      <c r="J765" s="55">
        <f>VLOOKUP(Table1[[#This Row],[Status]],Auxiliar!$B$16:$C$24,2,0)</f>
        <v>1</v>
      </c>
      <c r="K765" s="2" t="s">
        <v>1257</v>
      </c>
      <c r="L765" s="29" t="s">
        <v>1252</v>
      </c>
      <c r="M765" s="21" t="s">
        <v>1253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1289</v>
      </c>
      <c r="E766" s="2" t="s">
        <v>38</v>
      </c>
      <c r="F766" s="2" t="s">
        <v>182</v>
      </c>
      <c r="G766" s="2" t="s">
        <v>198</v>
      </c>
      <c r="H766" s="57" t="str">
        <f>Table1[[#This Row],[Tabela]]&amp;Table1[[#This Row],[Campo]]</f>
        <v>modesg_param_sfcs_taxon_europeiaepc</v>
      </c>
      <c r="I766" s="3" t="s">
        <v>613</v>
      </c>
      <c r="J766" s="55">
        <f>VLOOKUP(Table1[[#This Row],[Status]],Auxiliar!$B$16:$C$24,2,0)</f>
        <v>1</v>
      </c>
      <c r="K766" s="2" t="s">
        <v>1249</v>
      </c>
      <c r="L766" s="29" t="s">
        <v>1252</v>
      </c>
      <c r="M766" s="21" t="s">
        <v>1253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1289</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1249</v>
      </c>
      <c r="L767" s="29" t="s">
        <v>650</v>
      </c>
      <c r="M767" s="21" t="s">
        <v>1253</v>
      </c>
      <c r="N767" s="48">
        <v>45611</v>
      </c>
      <c r="O767" s="21">
        <f>INDEX(Auxiliar!$D$5:$F$13,MATCH(Table1[[#This Row],[Tipologia_Testes]],Auxiliar!$B$5:$B$13,0),MATCH(Table1[[#This Row],[Complexidade]],Auxiliar!$D$4:$F$4,0))</f>
        <v>0.1</v>
      </c>
      <c r="P767" s="2" t="s">
        <v>1293</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1257</v>
      </c>
      <c r="L768" s="29" t="s">
        <v>650</v>
      </c>
      <c r="M768" s="21" t="s">
        <v>1253</v>
      </c>
      <c r="N768" s="48">
        <v>45611</v>
      </c>
      <c r="O768" s="21">
        <f>INDEX(Auxiliar!$D$5:$F$13,MATCH(Table1[[#This Row],[Tipologia_Testes]],Auxiliar!$B$5:$B$13,0),MATCH(Table1[[#This Row],[Complexidade]],Auxiliar!$D$4:$F$4,0))</f>
        <v>0.5</v>
      </c>
      <c r="P768" s="2" t="s">
        <v>1293</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1249</v>
      </c>
      <c r="L769" s="29" t="s">
        <v>650</v>
      </c>
      <c r="M769" s="21" t="s">
        <v>1254</v>
      </c>
      <c r="N769" s="48">
        <v>45611</v>
      </c>
      <c r="O769" s="21">
        <f>INDEX(Auxiliar!$D$5:$F$13,MATCH(Table1[[#This Row],[Tipologia_Testes]],Auxiliar!$B$5:$B$13,0),MATCH(Table1[[#This Row],[Complexidade]],Auxiliar!$D$4:$F$4,0))</f>
        <v>0.1</v>
      </c>
      <c r="P769" s="2" t="s">
        <v>1294</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1257</v>
      </c>
      <c r="L770" s="29" t="s">
        <v>650</v>
      </c>
      <c r="M770" s="21" t="s">
        <v>1254</v>
      </c>
      <c r="N770" s="48">
        <v>45611</v>
      </c>
      <c r="O770" s="21">
        <f>INDEX(Auxiliar!$D$5:$F$13,MATCH(Table1[[#This Row],[Tipologia_Testes]],Auxiliar!$B$5:$B$13,0),MATCH(Table1[[#This Row],[Complexidade]],Auxiliar!$D$4:$F$4,0))</f>
        <v>0.5</v>
      </c>
      <c r="P770" s="2" t="s">
        <v>1294</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1289</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1249</v>
      </c>
      <c r="L772" s="29" t="s">
        <v>650</v>
      </c>
      <c r="M772" s="21" t="s">
        <v>1253</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1257</v>
      </c>
      <c r="L773" s="29" t="s">
        <v>1252</v>
      </c>
      <c r="M773" s="21" t="s">
        <v>1253</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1249</v>
      </c>
      <c r="L774" s="29" t="s">
        <v>1252</v>
      </c>
      <c r="M774" s="21" t="s">
        <v>1253</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1289</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1257</v>
      </c>
      <c r="L775" s="29" t="s">
        <v>1252</v>
      </c>
      <c r="M775" s="21" t="s">
        <v>1253</v>
      </c>
      <c r="N775" s="48">
        <v>45611</v>
      </c>
      <c r="O775" s="21">
        <f>INDEX(Auxiliar!$D$5:$F$13,MATCH(Table1[[#This Row],[Tipologia_Testes]],Auxiliar!$B$5:$B$13,0),MATCH(Table1[[#This Row],[Complexidade]],Auxiliar!$D$4:$F$4,0))</f>
        <v>0.5</v>
      </c>
      <c r="P775" s="23" t="s">
        <v>1295</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1289</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1249</v>
      </c>
      <c r="L776" s="29" t="s">
        <v>1252</v>
      </c>
      <c r="M776" s="21" t="s">
        <v>1253</v>
      </c>
      <c r="N776" s="48">
        <v>45611</v>
      </c>
      <c r="O776" s="21">
        <f>INDEX(Auxiliar!$D$5:$F$13,MATCH(Table1[[#This Row],[Tipologia_Testes]],Auxiliar!$B$5:$B$13,0),MATCH(Table1[[#This Row],[Complexidade]],Auxiliar!$D$4:$F$4,0))</f>
        <v>0.1</v>
      </c>
      <c r="P776" s="23" t="s">
        <v>1295</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1289</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1257</v>
      </c>
      <c r="L777" s="29" t="s">
        <v>1252</v>
      </c>
      <c r="M777" s="21" t="s">
        <v>1253</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1289</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1249</v>
      </c>
      <c r="L778" s="29" t="s">
        <v>1252</v>
      </c>
      <c r="M778" s="21" t="s">
        <v>1253</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1289</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1257</v>
      </c>
      <c r="L779" s="29" t="s">
        <v>1252</v>
      </c>
      <c r="M779" s="21" t="s">
        <v>1253</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1289</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1249</v>
      </c>
      <c r="L780" s="29" t="s">
        <v>1252</v>
      </c>
      <c r="M780" s="21" t="s">
        <v>1253</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1289</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1257</v>
      </c>
      <c r="L781" s="29" t="s">
        <v>1252</v>
      </c>
      <c r="M781" s="21" t="s">
        <v>1253</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1289</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1249</v>
      </c>
      <c r="L782" s="29" t="s">
        <v>1252</v>
      </c>
      <c r="M782" s="21" t="s">
        <v>1253</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1289</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1257</v>
      </c>
      <c r="L783" s="29" t="s">
        <v>1252</v>
      </c>
      <c r="M783" s="21" t="s">
        <v>1253</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1289</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1249</v>
      </c>
      <c r="L784" s="29" t="s">
        <v>1252</v>
      </c>
      <c r="M784" s="21" t="s">
        <v>1253</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1289</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1257</v>
      </c>
      <c r="L785" s="29" t="s">
        <v>1252</v>
      </c>
      <c r="M785" s="21" t="s">
        <v>1253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1289</v>
      </c>
      <c r="E786" s="2" t="s">
        <v>38</v>
      </c>
      <c r="F786" s="2" t="s">
        <v>182</v>
      </c>
      <c r="G786" s="2" t="s">
        <v>208</v>
      </c>
      <c r="H786" s="57" t="str">
        <f>Table1[[#This Row],[Tabela]]&amp;Table1[[#This Row],[Campo]]</f>
        <v>modesg_param_sfcs_taxon_europeiaref_date</v>
      </c>
      <c r="I786" s="2" t="s">
        <v>613</v>
      </c>
      <c r="J786" s="55">
        <f>VLOOKUP(Table1[[#This Row],[Status]],Auxiliar!$B$16:$C$24,2,0)</f>
        <v>1</v>
      </c>
      <c r="K786" s="2" t="s">
        <v>1249</v>
      </c>
      <c r="L786" s="29" t="s">
        <v>1252</v>
      </c>
      <c r="M786" s="21" t="s">
        <v>1253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1289</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1257</v>
      </c>
      <c r="L787" s="29" t="s">
        <v>1252</v>
      </c>
      <c r="M787" s="21" t="s">
        <v>1253</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1289</v>
      </c>
      <c r="E788" s="2" t="s">
        <v>38</v>
      </c>
      <c r="F788" s="2" t="s">
        <v>182</v>
      </c>
      <c r="G788" s="2" t="s">
        <v>209</v>
      </c>
      <c r="H788" s="57" t="str">
        <f>Table1[[#This Row],[Tabela]]&amp;Table1[[#This Row],[Campo]]</f>
        <v>modesg_param_sfcs_taxon_europeiazcliente</v>
      </c>
      <c r="I788" s="2" t="s">
        <v>613</v>
      </c>
      <c r="J788" s="55">
        <f>VLOOKUP(Table1[[#This Row],[Status]],Auxiliar!$B$16:$C$24,2,0)</f>
        <v>1</v>
      </c>
      <c r="K788" s="2" t="s">
        <v>1249</v>
      </c>
      <c r="L788" s="29" t="s">
        <v>1252</v>
      </c>
      <c r="M788" s="21" t="s">
        <v>1253</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1289</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1257</v>
      </c>
      <c r="L789" s="29" t="s">
        <v>1252</v>
      </c>
      <c r="M789" s="21" t="s">
        <v>1253</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1289</v>
      </c>
      <c r="E790" s="2" t="s">
        <v>38</v>
      </c>
      <c r="F790" s="2" t="s">
        <v>182</v>
      </c>
      <c r="G790" s="2" t="s">
        <v>210</v>
      </c>
      <c r="H790" s="57" t="str">
        <f>Table1[[#This Row],[Tabela]]&amp;Table1[[#This Row],[Campo]]</f>
        <v>modesg_param_sfcs_taxon_europeiazdeposit</v>
      </c>
      <c r="I790" s="2" t="s">
        <v>613</v>
      </c>
      <c r="J790" s="55">
        <f>VLOOKUP(Table1[[#This Row],[Status]],Auxiliar!$B$16:$C$24,2,0)</f>
        <v>1</v>
      </c>
      <c r="K790" s="2" t="s">
        <v>1249</v>
      </c>
      <c r="L790" s="29" t="s">
        <v>1252</v>
      </c>
      <c r="M790" s="21" t="s">
        <v>1253</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1289</v>
      </c>
      <c r="E791" s="2" t="s">
        <v>38</v>
      </c>
      <c r="F791" s="2" t="s">
        <v>182</v>
      </c>
      <c r="G791" s="2" t="s">
        <v>211</v>
      </c>
      <c r="H791" s="57" t="str">
        <f>Table1[[#This Row],[Tabela]]&amp;Table1[[#This Row],[Campo]]</f>
        <v>modesg_param_sfcs_taxon_europeiaordem</v>
      </c>
      <c r="I791" s="2" t="s">
        <v>612</v>
      </c>
      <c r="J791" s="54">
        <f>VLOOKUP(Table1[[#This Row],[Status]],Auxiliar!$B$16:$C$24,2,0)</f>
        <v>0</v>
      </c>
      <c r="K791" s="2" t="s">
        <v>1257</v>
      </c>
      <c r="L791" s="29" t="s">
        <v>1252</v>
      </c>
      <c r="M791" s="21" t="s">
        <v>1253</v>
      </c>
      <c r="N791" s="48">
        <v>45561</v>
      </c>
      <c r="O791" s="21">
        <f>INDEX(Auxiliar!$D$5:$F$13,MATCH(Table1[[#This Row],[Tipologia_Testes]],Auxiliar!$B$5:$B$13,0),MATCH(Table1[[#This Row],[Complexidade]],Auxiliar!$D$4:$F$4,0))</f>
        <v>0.5</v>
      </c>
      <c r="P791" s="2" t="s">
        <v>1272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1289</v>
      </c>
      <c r="E792" s="2" t="s">
        <v>38</v>
      </c>
      <c r="F792" s="2" t="s">
        <v>182</v>
      </c>
      <c r="G792" s="2" t="s">
        <v>211</v>
      </c>
      <c r="H792" s="57" t="str">
        <f>Table1[[#This Row],[Tabela]]&amp;Table1[[#This Row],[Campo]]</f>
        <v>modesg_param_sfcs_taxon_europeiaordem</v>
      </c>
      <c r="I792" s="2" t="s">
        <v>612</v>
      </c>
      <c r="J792" s="54">
        <f>VLOOKUP(Table1[[#This Row],[Status]],Auxiliar!$B$16:$C$24,2,0)</f>
        <v>0</v>
      </c>
      <c r="K792" s="2" t="s">
        <v>1249</v>
      </c>
      <c r="L792" s="29" t="s">
        <v>1252</v>
      </c>
      <c r="M792" s="21" t="s">
        <v>1253</v>
      </c>
      <c r="N792" s="48">
        <v>45561</v>
      </c>
      <c r="O792" s="21">
        <f>INDEX(Auxiliar!$D$5:$F$13,MATCH(Table1[[#This Row],[Tipologia_Testes]],Auxiliar!$B$5:$B$13,0),MATCH(Table1[[#This Row],[Complexidade]],Auxiliar!$D$4:$F$4,0))</f>
        <v>0.1</v>
      </c>
      <c r="P792" s="2" t="s">
        <v>1272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1289</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1257</v>
      </c>
      <c r="L793" s="29" t="s">
        <v>1252</v>
      </c>
      <c r="M793" s="21" t="s">
        <v>1253</v>
      </c>
      <c r="N793" s="48">
        <v>45561</v>
      </c>
      <c r="O793" s="21">
        <f>INDEX(Auxiliar!$D$5:$F$13,MATCH(Table1[[#This Row],[Tipologia_Testes]],Auxiliar!$B$5:$B$13,0),MATCH(Table1[[#This Row],[Complexidade]],Auxiliar!$D$4:$F$4,0))</f>
        <v>0.5</v>
      </c>
      <c r="P793" s="2" t="s">
        <v>1272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1289</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1249</v>
      </c>
      <c r="L794" s="29" t="s">
        <v>1252</v>
      </c>
      <c r="M794" s="21" t="s">
        <v>1253</v>
      </c>
      <c r="N794" s="48">
        <v>45561</v>
      </c>
      <c r="O794" s="21">
        <f>INDEX(Auxiliar!$D$5:$F$13,MATCH(Table1[[#This Row],[Tipologia_Testes]],Auxiliar!$B$5:$B$13,0),MATCH(Table1[[#This Row],[Complexidade]],Auxiliar!$D$4:$F$4,0))</f>
        <v>0.1</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1296</v>
      </c>
      <c r="E795" s="2" t="s">
        <v>38</v>
      </c>
      <c r="F795" s="13" t="s">
        <v>213</v>
      </c>
      <c r="G795" s="13" t="s">
        <v>38</v>
      </c>
      <c r="H795" s="58" t="str">
        <f>Table1[[#This Row],[Tabela]]&amp;Table1[[#This Row],[Campo]]</f>
        <v>modesg_inp_emss_vclsn.a.</v>
      </c>
      <c r="I795" s="2" t="s">
        <v>613</v>
      </c>
      <c r="J795" s="46">
        <f>VLOOKUP(Table1[[#This Row],[Status]],Auxiliar!$B$16:$C$24,2,0)</f>
        <v>1</v>
      </c>
      <c r="K795" s="21" t="s">
        <v>1243</v>
      </c>
      <c r="L795" s="253" t="s">
        <v>1252</v>
      </c>
      <c r="M795" s="21" t="s">
        <v>1253</v>
      </c>
      <c r="N795" s="48">
        <v>45546</v>
      </c>
      <c r="O795" s="21">
        <f>INDEX(Auxiliar!$D$5:$F$13,MATCH(Table1[[#This Row],[Tipologia_Testes]],Auxiliar!$B$5:$B$13,0),MATCH(Table1[[#This Row],[Complexidade]],Auxiliar!$D$4:$F$4,0))</f>
        <v>8</v>
      </c>
      <c r="P795" s="2" t="s">
        <v>1297</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1296</v>
      </c>
      <c r="E796" s="2" t="s">
        <v>38</v>
      </c>
      <c r="F796" s="13" t="s">
        <v>213</v>
      </c>
      <c r="G796" s="13" t="s">
        <v>38</v>
      </c>
      <c r="H796" s="58" t="str">
        <f>Table1[[#This Row],[Tabela]]&amp;Table1[[#This Row],[Campo]]</f>
        <v>modesg_inp_emss_vclsn.a.</v>
      </c>
      <c r="I796" s="2" t="s">
        <v>613</v>
      </c>
      <c r="J796" s="46">
        <f>VLOOKUP(Table1[[#This Row],[Status]],Auxiliar!$B$16:$C$24,2,0)</f>
        <v>1</v>
      </c>
      <c r="K796" s="21" t="s">
        <v>1290</v>
      </c>
      <c r="L796" s="253" t="s">
        <v>1252</v>
      </c>
      <c r="M796" s="21" t="s">
        <v>1253</v>
      </c>
      <c r="N796" s="48">
        <v>45546</v>
      </c>
      <c r="O796" s="21">
        <f>INDEX(Auxiliar!$D$5:$F$13,MATCH(Table1[[#This Row],[Tipologia_Testes]],Auxiliar!$B$5:$B$13,0),MATCH(Table1[[#This Row],[Complexidade]],Auxiliar!$D$4:$F$4,0))</f>
        <v>0.5</v>
      </c>
      <c r="P796" s="2" t="s">
        <v>1298</v>
      </c>
      <c r="Q796" s="2" t="s">
        <v>1299</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1296</v>
      </c>
      <c r="E797" s="2" t="s">
        <v>38</v>
      </c>
      <c r="F797" s="13" t="s">
        <v>214</v>
      </c>
      <c r="G797" s="13" t="s">
        <v>38</v>
      </c>
      <c r="H797" s="58" t="str">
        <f>Table1[[#This Row],[Tabela]]&amp;Table1[[#This Row],[Campo]]</f>
        <v>modesg_inp_km_medios_emss_vclsn.a.</v>
      </c>
      <c r="I797" s="2" t="s">
        <v>613</v>
      </c>
      <c r="J797" s="46">
        <f>VLOOKUP(Table1[[#This Row],[Status]],Auxiliar!$B$16:$C$24,2,0)</f>
        <v>1</v>
      </c>
      <c r="K797" s="21" t="s">
        <v>1243</v>
      </c>
      <c r="L797" s="22"/>
      <c r="M797" s="21" t="s">
        <v>1253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1296</v>
      </c>
      <c r="E798" s="2" t="s">
        <v>38</v>
      </c>
      <c r="F798" s="13" t="s">
        <v>214</v>
      </c>
      <c r="G798" s="13" t="s">
        <v>38</v>
      </c>
      <c r="H798" s="58" t="str">
        <f>Table1[[#This Row],[Tabela]]&amp;Table1[[#This Row],[Campo]]</f>
        <v>modesg_inp_km_medios_emss_vclsn.a.</v>
      </c>
      <c r="I798" s="2" t="s">
        <v>613</v>
      </c>
      <c r="J798" s="46">
        <f>VLOOKUP(Table1[[#This Row],[Status]],Auxiliar!$B$16:$C$24,2,0)</f>
        <v>1</v>
      </c>
      <c r="K798" s="21" t="s">
        <v>1290</v>
      </c>
      <c r="L798" s="22"/>
      <c r="M798" s="21" t="s">
        <v>1253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1300</v>
      </c>
      <c r="E799" s="2" t="s">
        <v>38</v>
      </c>
      <c r="F799" s="13" t="s">
        <v>215</v>
      </c>
      <c r="G799" s="13" t="s">
        <v>38</v>
      </c>
      <c r="H799" s="58" t="str">
        <f>Table1[[#This Row],[Tabela]]&amp;Table1[[#This Row],[Campo]]</f>
        <v>modesg_inp_empr_excl_parisn.a.</v>
      </c>
      <c r="I799" s="2" t="s">
        <v>613</v>
      </c>
      <c r="J799" s="46">
        <f>VLOOKUP(Table1[[#This Row],[Status]],Auxiliar!$B$16:$C$24,2,0)</f>
        <v>1</v>
      </c>
      <c r="K799" s="21" t="s">
        <v>1243</v>
      </c>
      <c r="L799" s="22"/>
      <c r="M799" s="21" t="s">
        <v>1253</v>
      </c>
      <c r="N799" s="48">
        <v>45491</v>
      </c>
      <c r="O799" s="21">
        <f>INDEX(Auxiliar!$D$5:$F$13,MATCH(Table1[[#This Row],[Tipologia_Testes]],Auxiliar!$B$5:$B$13,0),MATCH(Table1[[#This Row],[Complexidade]],Auxiliar!$D$4:$F$4,0))</f>
        <v>8</v>
      </c>
      <c r="P799" s="2" t="s">
        <v>1301</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1300</v>
      </c>
      <c r="E800" s="2" t="s">
        <v>38</v>
      </c>
      <c r="F800" s="13" t="s">
        <v>215</v>
      </c>
      <c r="G800" s="13" t="s">
        <v>38</v>
      </c>
      <c r="H800" s="58" t="str">
        <f>Table1[[#This Row],[Tabela]]&amp;Table1[[#This Row],[Campo]]</f>
        <v>modesg_inp_empr_excl_parisn.a.</v>
      </c>
      <c r="I800" s="2" t="s">
        <v>613</v>
      </c>
      <c r="J800" s="46">
        <f>VLOOKUP(Table1[[#This Row],[Status]],Auxiliar!$B$16:$C$24,2,0)</f>
        <v>1</v>
      </c>
      <c r="K800" s="21" t="s">
        <v>1290</v>
      </c>
      <c r="L800" s="22"/>
      <c r="M800" s="21" t="s">
        <v>1253</v>
      </c>
      <c r="N800" s="48">
        <v>45491</v>
      </c>
      <c r="O800" s="21">
        <f>INDEX(Auxiliar!$D$5:$F$13,MATCH(Table1[[#This Row],[Tipologia_Testes]],Auxiliar!$B$5:$B$13,0),MATCH(Table1[[#This Row],[Complexidade]],Auxiliar!$D$4:$F$4,0))</f>
        <v>0.5</v>
      </c>
      <c r="P800" s="2" t="s">
        <v>1302</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1303</v>
      </c>
      <c r="E801" s="2" t="s">
        <v>38</v>
      </c>
      <c r="F801" s="13" t="s">
        <v>216</v>
      </c>
      <c r="G801" s="13" t="s">
        <v>38</v>
      </c>
      <c r="H801" s="58" t="str">
        <f>Table1[[#This Row],[Tabela]]&amp;Table1[[#This Row],[Campo]]</f>
        <v>modesg_inp_nfrd_alinhamento_taxn.a.</v>
      </c>
      <c r="I801" s="2" t="s">
        <v>613</v>
      </c>
      <c r="J801" s="46">
        <f>VLOOKUP(Table1[[#This Row],[Status]],Auxiliar!$B$16:$C$24,2,0)</f>
        <v>1</v>
      </c>
      <c r="K801" s="21" t="s">
        <v>1243</v>
      </c>
      <c r="L801" s="22"/>
      <c r="M801" s="21" t="s">
        <v>1253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1303</v>
      </c>
      <c r="E802" s="2" t="s">
        <v>38</v>
      </c>
      <c r="F802" s="13" t="s">
        <v>216</v>
      </c>
      <c r="G802" s="13" t="s">
        <v>38</v>
      </c>
      <c r="H802" s="58" t="str">
        <f>Table1[[#This Row],[Tabela]]&amp;Table1[[#This Row],[Campo]]</f>
        <v>modesg_inp_nfrd_alinhamento_taxn.a.</v>
      </c>
      <c r="I802" s="2" t="s">
        <v>613</v>
      </c>
      <c r="J802" s="46">
        <f>VLOOKUP(Table1[[#This Row],[Status]],Auxiliar!$B$16:$C$24,2,0)</f>
        <v>1</v>
      </c>
      <c r="K802" s="21" t="s">
        <v>1290</v>
      </c>
      <c r="L802" s="22"/>
      <c r="M802" s="21" t="s">
        <v>1253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1304</v>
      </c>
      <c r="E803" s="2" t="s">
        <v>38</v>
      </c>
      <c r="F803" s="13" t="s">
        <v>217</v>
      </c>
      <c r="G803" s="13" t="s">
        <v>38</v>
      </c>
      <c r="H803" s="58" t="str">
        <f>Table1[[#This Row],[Tabela]]&amp;Table1[[#This Row],[Campo]]</f>
        <v>modesg_inp_risco_fisicon.a.</v>
      </c>
      <c r="I803" s="2" t="s">
        <v>613</v>
      </c>
      <c r="J803" s="46">
        <f>VLOOKUP(Table1[[#This Row],[Status]],Auxiliar!$B$16:$C$24,2,0)</f>
        <v>1</v>
      </c>
      <c r="K803" s="21" t="s">
        <v>1243</v>
      </c>
      <c r="L803" s="21" t="s">
        <v>1252</v>
      </c>
      <c r="M803" s="21" t="s">
        <v>1253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1304</v>
      </c>
      <c r="E804" s="2" t="s">
        <v>38</v>
      </c>
      <c r="F804" s="13" t="s">
        <v>217</v>
      </c>
      <c r="G804" s="13" t="s">
        <v>38</v>
      </c>
      <c r="H804" s="58" t="str">
        <f>Table1[[#This Row],[Tabela]]&amp;Table1[[#This Row],[Campo]]</f>
        <v>modesg_inp_risco_fisicon.a.</v>
      </c>
      <c r="I804" s="2" t="s">
        <v>613</v>
      </c>
      <c r="J804" s="46">
        <f>VLOOKUP(Table1[[#This Row],[Status]],Auxiliar!$B$16:$C$24,2,0)</f>
        <v>1</v>
      </c>
      <c r="K804" s="21" t="s">
        <v>1290</v>
      </c>
      <c r="L804" s="21" t="s">
        <v>1244</v>
      </c>
      <c r="M804" s="21" t="s">
        <v>1253</v>
      </c>
      <c r="N804" s="48">
        <v>45485</v>
      </c>
      <c r="O804" s="21">
        <f>INDEX(Auxiliar!$D$5:$F$13,MATCH(Table1[[#This Row],[Tipologia_Testes]],Auxiliar!$B$5:$B$13,0),MATCH(Table1[[#This Row],[Complexidade]],Auxiliar!$D$4:$F$4,0))</f>
        <v>0.5</v>
      </c>
      <c r="P804" s="2" t="s">
        <v>1302</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1296</v>
      </c>
      <c r="E805" s="2" t="s">
        <v>38</v>
      </c>
      <c r="F805" s="13" t="s">
        <v>218</v>
      </c>
      <c r="G805" s="13" t="s">
        <v>38</v>
      </c>
      <c r="H805" s="58" t="str">
        <f>Table1[[#This Row],[Tabela]]&amp;Table1[[#This Row],[Campo]]</f>
        <v>modesg_inp_emss_scibn.a.</v>
      </c>
      <c r="I805" s="2" t="s">
        <v>613</v>
      </c>
      <c r="J805" s="46">
        <f>VLOOKUP(Table1[[#This Row],[Status]],Auxiliar!$B$16:$C$24,2,0)</f>
        <v>1</v>
      </c>
      <c r="K805" s="21" t="s">
        <v>1243</v>
      </c>
      <c r="L805" s="21" t="s">
        <v>1252</v>
      </c>
      <c r="M805" s="21" t="s">
        <v>1253</v>
      </c>
      <c r="N805" s="48">
        <v>45490</v>
      </c>
      <c r="O805" s="21">
        <f>INDEX(Auxiliar!$D$5:$F$13,MATCH(Table1[[#This Row],[Tipologia_Testes]],Auxiliar!$B$5:$B$13,0),MATCH(Table1[[#This Row],[Complexidade]],Auxiliar!$D$4:$F$4,0))</f>
        <v>8</v>
      </c>
      <c r="P805" s="2"/>
      <c r="Q805" s="2" t="s">
        <v>1299</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1296</v>
      </c>
      <c r="E806" s="2" t="s">
        <v>38</v>
      </c>
      <c r="F806" s="13" t="s">
        <v>218</v>
      </c>
      <c r="G806" s="13" t="s">
        <v>38</v>
      </c>
      <c r="H806" s="58" t="str">
        <f>Table1[[#This Row],[Tabela]]&amp;Table1[[#This Row],[Campo]]</f>
        <v>modesg_inp_emss_scibn.a.</v>
      </c>
      <c r="I806" s="2" t="s">
        <v>613</v>
      </c>
      <c r="J806" s="46">
        <f>VLOOKUP(Table1[[#This Row],[Status]],Auxiliar!$B$16:$C$24,2,0)</f>
        <v>1</v>
      </c>
      <c r="K806" s="21" t="s">
        <v>1290</v>
      </c>
      <c r="L806" s="21" t="s">
        <v>1244</v>
      </c>
      <c r="M806" s="21" t="s">
        <v>1253</v>
      </c>
      <c r="N806" s="48">
        <v>45490</v>
      </c>
      <c r="O806" s="21">
        <f>INDEX(Auxiliar!$D$5:$F$13,MATCH(Table1[[#This Row],[Tipologia_Testes]],Auxiliar!$B$5:$B$13,0),MATCH(Table1[[#This Row],[Complexidade]],Auxiliar!$D$4:$F$4,0))</f>
        <v>0.5</v>
      </c>
      <c r="P806" s="2"/>
      <c r="Q806" s="2" t="s">
        <v>1299</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1296</v>
      </c>
      <c r="E807" s="2" t="s">
        <v>38</v>
      </c>
      <c r="F807" s="13" t="s">
        <v>219</v>
      </c>
      <c r="G807" s="13" t="s">
        <v>38</v>
      </c>
      <c r="H807" s="58" t="str">
        <f>Table1[[#This Row],[Tabela]]&amp;Table1[[#This Row],[Campo]]</f>
        <v>modesg_inp_emss_nacen.a.</v>
      </c>
      <c r="I807" s="2" t="s">
        <v>613</v>
      </c>
      <c r="J807" s="46">
        <f>VLOOKUP(Table1[[#This Row],[Status]],Auxiliar!$B$16:$C$24,2,0)</f>
        <v>1</v>
      </c>
      <c r="K807" s="21" t="s">
        <v>1243</v>
      </c>
      <c r="L807" s="21" t="s">
        <v>1252</v>
      </c>
      <c r="M807" s="21" t="s">
        <v>1253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1296</v>
      </c>
      <c r="E808" s="2" t="s">
        <v>38</v>
      </c>
      <c r="F808" s="13" t="s">
        <v>219</v>
      </c>
      <c r="G808" s="13" t="s">
        <v>38</v>
      </c>
      <c r="H808" s="58" t="str">
        <f>Table1[[#This Row],[Tabela]]&amp;Table1[[#This Row],[Campo]]</f>
        <v>modesg_inp_emss_nacen.a.</v>
      </c>
      <c r="I808" s="2" t="s">
        <v>613</v>
      </c>
      <c r="J808" s="46">
        <f>VLOOKUP(Table1[[#This Row],[Status]],Auxiliar!$B$16:$C$24,2,0)</f>
        <v>1</v>
      </c>
      <c r="K808" s="21" t="s">
        <v>1290</v>
      </c>
      <c r="L808" s="21" t="s">
        <v>1244</v>
      </c>
      <c r="M808" s="21" t="s">
        <v>1253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1296</v>
      </c>
      <c r="E809" s="2" t="s">
        <v>38</v>
      </c>
      <c r="F809" s="13" t="s">
        <v>220</v>
      </c>
      <c r="G809" s="13" t="s">
        <v>38</v>
      </c>
      <c r="H809" s="58" t="str">
        <f>Table1[[#This Row],[Tabela]]&amp;Table1[[#This Row],[Campo]]</f>
        <v>modesg_inp_emss_bens_imoveisn.a.</v>
      </c>
      <c r="I809" s="2" t="s">
        <v>613</v>
      </c>
      <c r="J809" s="46">
        <f>VLOOKUP(Table1[[#This Row],[Status]],Auxiliar!$B$16:$C$24,2,0)</f>
        <v>1</v>
      </c>
      <c r="K809" s="21" t="s">
        <v>1243</v>
      </c>
      <c r="L809" s="21" t="s">
        <v>1252</v>
      </c>
      <c r="M809" s="21" t="s">
        <v>1253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1296</v>
      </c>
      <c r="E810" s="2" t="s">
        <v>38</v>
      </c>
      <c r="F810" s="13" t="s">
        <v>220</v>
      </c>
      <c r="G810" s="13" t="s">
        <v>38</v>
      </c>
      <c r="H810" s="58" t="str">
        <f>Table1[[#This Row],[Tabela]]&amp;Table1[[#This Row],[Campo]]</f>
        <v>modesg_inp_emss_bens_imoveisn.a.</v>
      </c>
      <c r="I810" s="2" t="s">
        <v>613</v>
      </c>
      <c r="J810" s="46">
        <f>VLOOKUP(Table1[[#This Row],[Status]],Auxiliar!$B$16:$C$24,2,0)</f>
        <v>1</v>
      </c>
      <c r="K810" s="21" t="s">
        <v>1290</v>
      </c>
      <c r="L810" s="21" t="s">
        <v>1244</v>
      </c>
      <c r="M810" s="21" t="s">
        <v>1253</v>
      </c>
      <c r="N810" s="48">
        <v>45546</v>
      </c>
      <c r="O810" s="21">
        <f>INDEX(Auxiliar!$D$5:$F$13,MATCH(Table1[[#This Row],[Tipologia_Testes]],Auxiliar!$B$5:$B$13,0),MATCH(Table1[[#This Row],[Complexidade]],Auxiliar!$D$4:$F$4,0))</f>
        <v>0.5</v>
      </c>
      <c r="P810" s="2" t="s">
        <v>1305</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1296</v>
      </c>
      <c r="E811" s="2" t="s">
        <v>38</v>
      </c>
      <c r="F811" s="13" t="s">
        <v>213</v>
      </c>
      <c r="G811" s="13" t="s">
        <v>208</v>
      </c>
      <c r="H811" s="58" t="str">
        <f>Table1[[#This Row],[Tabela]]&amp;Table1[[#This Row],[Campo]]</f>
        <v>modesg_inp_emss_vclsref_date</v>
      </c>
      <c r="I811" s="2" t="s">
        <v>613</v>
      </c>
      <c r="J811" s="46">
        <f>VLOOKUP(Table1[[#This Row],[Status]],Auxiliar!$B$16:$C$24,2,0)</f>
        <v>1</v>
      </c>
      <c r="K811" s="21" t="s">
        <v>1257</v>
      </c>
      <c r="L811" s="21" t="s">
        <v>1252</v>
      </c>
      <c r="M811" s="21" t="s">
        <v>1254</v>
      </c>
      <c r="N811" s="48">
        <v>45546</v>
      </c>
      <c r="O811" s="21">
        <f>INDEX(Auxiliar!$D$5:$F$13,MATCH(Table1[[#This Row],[Tipologia_Testes]],Auxiliar!$B$5:$B$13,0),MATCH(Table1[[#This Row],[Complexidade]],Auxiliar!$D$4:$F$4,0))</f>
        <v>0.5</v>
      </c>
      <c r="P811" s="2" t="s">
        <v>1306</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1296</v>
      </c>
      <c r="E812" s="2" t="s">
        <v>38</v>
      </c>
      <c r="F812" s="13" t="s">
        <v>213</v>
      </c>
      <c r="G812" s="13" t="s">
        <v>221</v>
      </c>
      <c r="H812" s="58" t="str">
        <f>Table1[[#This Row],[Tabela]]&amp;Table1[[#This Row],[Campo]]</f>
        <v>modesg_inp_emss_vclsnome_regiao</v>
      </c>
      <c r="I812" s="2" t="s">
        <v>613</v>
      </c>
      <c r="J812" s="46">
        <f>VLOOKUP(Table1[[#This Row],[Status]],Auxiliar!$B$16:$C$24,2,0)</f>
        <v>1</v>
      </c>
      <c r="K812" s="21" t="s">
        <v>1249</v>
      </c>
      <c r="L812" s="21" t="s">
        <v>1244</v>
      </c>
      <c r="M812" s="21" t="s">
        <v>1254</v>
      </c>
      <c r="N812" s="48">
        <v>45546</v>
      </c>
      <c r="O812" s="21">
        <f>INDEX(Auxiliar!$D$5:$F$13,MATCH(Table1[[#This Row],[Tipologia_Testes]],Auxiliar!$B$5:$B$13,0),MATCH(Table1[[#This Row],[Complexidade]],Auxiliar!$D$4:$F$4,0))</f>
        <v>0.1</v>
      </c>
      <c r="P812" s="2" t="s">
        <v>1307</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1296</v>
      </c>
      <c r="E813" s="2" t="s">
        <v>38</v>
      </c>
      <c r="F813" s="13" t="s">
        <v>213</v>
      </c>
      <c r="G813" s="13" t="s">
        <v>221</v>
      </c>
      <c r="H813" s="58" t="str">
        <f>Table1[[#This Row],[Tabela]]&amp;Table1[[#This Row],[Campo]]</f>
        <v>modesg_inp_emss_vclsnome_regiao</v>
      </c>
      <c r="I813" s="2" t="s">
        <v>613</v>
      </c>
      <c r="J813" s="46">
        <f>VLOOKUP(Table1[[#This Row],[Status]],Auxiliar!$B$16:$C$24,2,0)</f>
        <v>1</v>
      </c>
      <c r="K813" s="21" t="s">
        <v>1257</v>
      </c>
      <c r="L813" s="21" t="s">
        <v>1244</v>
      </c>
      <c r="M813" s="21" t="s">
        <v>1254</v>
      </c>
      <c r="N813" s="48">
        <v>45546</v>
      </c>
      <c r="O813" s="21">
        <f>INDEX(Auxiliar!$D$5:$F$13,MATCH(Table1[[#This Row],[Tipologia_Testes]],Auxiliar!$B$5:$B$13,0),MATCH(Table1[[#This Row],[Complexidade]],Auxiliar!$D$4:$F$4,0))</f>
        <v>0.5</v>
      </c>
      <c r="P813" s="23" t="s">
        <v>1308</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222</v>
      </c>
      <c r="H814" s="58" t="str">
        <f>Table1[[#This Row],[Tabela]]&amp;Table1[[#This Row],[Campo]]</f>
        <v>modesg_inp_emss_vclsnome_pais</v>
      </c>
      <c r="I814" s="2" t="s">
        <v>613</v>
      </c>
      <c r="J814" s="46">
        <f>VLOOKUP(Table1[[#This Row],[Status]],Auxiliar!$B$16:$C$24,2,0)</f>
        <v>1</v>
      </c>
      <c r="K814" s="21" t="s">
        <v>1249</v>
      </c>
      <c r="L814" s="2" t="s">
        <v>1244</v>
      </c>
      <c r="M814" s="21" t="s">
        <v>1254</v>
      </c>
      <c r="N814" s="48">
        <v>45546</v>
      </c>
      <c r="O814" s="21">
        <f>INDEX(Auxiliar!$D$5:$F$13,MATCH(Table1[[#This Row],[Tipologia_Testes]],Auxiliar!$B$5:$B$13,0),MATCH(Table1[[#This Row],[Complexidade]],Auxiliar!$D$4:$F$4,0))</f>
        <v>0.1</v>
      </c>
      <c r="P814" s="2" t="s">
        <v>1307</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1296</v>
      </c>
      <c r="E815" s="2" t="s">
        <v>38</v>
      </c>
      <c r="F815" s="13" t="s">
        <v>213</v>
      </c>
      <c r="G815" s="13" t="s">
        <v>222</v>
      </c>
      <c r="H815" s="58" t="str">
        <f>Table1[[#This Row],[Tabela]]&amp;Table1[[#This Row],[Campo]]</f>
        <v>modesg_inp_emss_vclsnome_pais</v>
      </c>
      <c r="I815" s="2" t="s">
        <v>613</v>
      </c>
      <c r="J815" s="46">
        <f>VLOOKUP(Table1[[#This Row],[Status]],Auxiliar!$B$16:$C$24,2,0)</f>
        <v>1</v>
      </c>
      <c r="K815" s="21" t="s">
        <v>1257</v>
      </c>
      <c r="L815" s="2" t="s">
        <v>1244</v>
      </c>
      <c r="M815" s="21" t="s">
        <v>1254</v>
      </c>
      <c r="N815" s="48">
        <v>45546</v>
      </c>
      <c r="O815" s="21">
        <f>INDEX(Auxiliar!$D$5:$F$13,MATCH(Table1[[#This Row],[Tipologia_Testes]],Auxiliar!$B$5:$B$13,0),MATCH(Table1[[#This Row],[Complexidade]],Auxiliar!$D$4:$F$4,0))</f>
        <v>0.5</v>
      </c>
      <c r="P815" s="23" t="s">
        <v>1308</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1296</v>
      </c>
      <c r="E816" s="2" t="s">
        <v>38</v>
      </c>
      <c r="F816" s="13" t="s">
        <v>213</v>
      </c>
      <c r="G816" s="13" t="s">
        <v>223</v>
      </c>
      <c r="H816" s="58" t="str">
        <f>Table1[[#This Row],[Tabela]]&amp;Table1[[#This Row],[Campo]]</f>
        <v>modesg_inp_emss_vclsnome_estado</v>
      </c>
      <c r="I816" s="2" t="s">
        <v>613</v>
      </c>
      <c r="J816" s="46">
        <f>VLOOKUP(Table1[[#This Row],[Status]],Auxiliar!$B$16:$C$24,2,0)</f>
        <v>1</v>
      </c>
      <c r="K816" s="21" t="s">
        <v>1257</v>
      </c>
      <c r="L816" s="21" t="s">
        <v>1252</v>
      </c>
      <c r="M816" s="21" t="s">
        <v>1254</v>
      </c>
      <c r="N816" s="48">
        <v>45546</v>
      </c>
      <c r="O816" s="21">
        <f>INDEX(Auxiliar!$D$5:$F$13,MATCH(Table1[[#This Row],[Tipologia_Testes]],Auxiliar!$B$5:$B$13,0),MATCH(Table1[[#This Row],[Complexidade]],Auxiliar!$D$4:$F$4,0))</f>
        <v>0.5</v>
      </c>
      <c r="P816" s="2" t="s">
        <v>1306</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224</v>
      </c>
      <c r="H817" s="58" t="str">
        <f>Table1[[#This Row],[Tabela]]&amp;Table1[[#This Row],[Campo]]</f>
        <v>modesg_inp_emss_vclstipo_veiculo</v>
      </c>
      <c r="I817" s="2" t="s">
        <v>613</v>
      </c>
      <c r="J817" s="46">
        <f>VLOOKUP(Table1[[#This Row],[Status]],Auxiliar!$B$16:$C$24,2,0)</f>
        <v>1</v>
      </c>
      <c r="K817" s="21" t="s">
        <v>1249</v>
      </c>
      <c r="L817" s="21" t="s">
        <v>1252</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1296</v>
      </c>
      <c r="E818" s="2" t="s">
        <v>38</v>
      </c>
      <c r="F818" s="13" t="s">
        <v>213</v>
      </c>
      <c r="G818" s="13" t="s">
        <v>224</v>
      </c>
      <c r="H818" s="58" t="str">
        <f>Table1[[#This Row],[Tabela]]&amp;Table1[[#This Row],[Campo]]</f>
        <v>modesg_inp_emss_vclstipo_veiculo</v>
      </c>
      <c r="I818" s="2" t="s">
        <v>613</v>
      </c>
      <c r="J818" s="46">
        <f>VLOOKUP(Table1[[#This Row],[Status]],Auxiliar!$B$16:$C$24,2,0)</f>
        <v>1</v>
      </c>
      <c r="K818" s="21" t="s">
        <v>1257</v>
      </c>
      <c r="L818" s="21" t="s">
        <v>1252</v>
      </c>
      <c r="M818" s="21" t="s">
        <v>1254</v>
      </c>
      <c r="N818" s="48">
        <v>45546</v>
      </c>
      <c r="O818" s="21">
        <f>INDEX(Auxiliar!$D$5:$F$13,MATCH(Table1[[#This Row],[Tipologia_Testes]],Auxiliar!$B$5:$B$13,0),MATCH(Table1[[#This Row],[Complexidade]],Auxiliar!$D$4:$F$4,0))</f>
        <v>0.5</v>
      </c>
      <c r="P818" s="2" t="s">
        <v>1306</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225</v>
      </c>
      <c r="H819" s="58" t="str">
        <f>Table1[[#This Row],[Tabela]]&amp;Table1[[#This Row],[Campo]]</f>
        <v>modesg_inp_emss_vclstipo_motor</v>
      </c>
      <c r="I819" s="2" t="s">
        <v>613</v>
      </c>
      <c r="J819" s="46">
        <f>VLOOKUP(Table1[[#This Row],[Status]],Auxiliar!$B$16:$C$24,2,0)</f>
        <v>1</v>
      </c>
      <c r="K819" s="21" t="s">
        <v>1249</v>
      </c>
      <c r="L819" s="21" t="s">
        <v>1252</v>
      </c>
      <c r="M819" s="21" t="s">
        <v>1254</v>
      </c>
      <c r="N819" s="48">
        <v>45546</v>
      </c>
      <c r="O819" s="21">
        <f>INDEX(Auxiliar!$D$5:$F$13,MATCH(Table1[[#This Row],[Tipologia_Testes]],Auxiliar!$B$5:$B$13,0),MATCH(Table1[[#This Row],[Complexidade]],Auxiliar!$D$4:$F$4,0))</f>
        <v>0.1</v>
      </c>
      <c r="P819" s="2" t="s">
        <v>1307</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1296</v>
      </c>
      <c r="E820" s="2" t="s">
        <v>38</v>
      </c>
      <c r="F820" s="13" t="s">
        <v>213</v>
      </c>
      <c r="G820" s="13" t="s">
        <v>225</v>
      </c>
      <c r="H820" s="58" t="str">
        <f>Table1[[#This Row],[Tabela]]&amp;Table1[[#This Row],[Campo]]</f>
        <v>modesg_inp_emss_vclstipo_motor</v>
      </c>
      <c r="I820" s="2" t="s">
        <v>613</v>
      </c>
      <c r="J820" s="46">
        <f>VLOOKUP(Table1[[#This Row],[Status]],Auxiliar!$B$16:$C$24,2,0)</f>
        <v>1</v>
      </c>
      <c r="K820" s="21" t="s">
        <v>1257</v>
      </c>
      <c r="L820" s="21" t="s">
        <v>1252</v>
      </c>
      <c r="M820" s="21" t="s">
        <v>1254</v>
      </c>
      <c r="N820" s="48">
        <v>45546</v>
      </c>
      <c r="O820" s="21">
        <f>INDEX(Auxiliar!$D$5:$F$13,MATCH(Table1[[#This Row],[Tipologia_Testes]],Auxiliar!$B$5:$B$13,0),MATCH(Table1[[#This Row],[Complexidade]],Auxiliar!$D$4:$F$4,0))</f>
        <v>0.5</v>
      </c>
      <c r="P820" s="2" t="s">
        <v>1306</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1296</v>
      </c>
      <c r="E821" s="2" t="s">
        <v>38</v>
      </c>
      <c r="F821" s="13" t="s">
        <v>213</v>
      </c>
      <c r="G821" s="13" t="s">
        <v>226</v>
      </c>
      <c r="H821" s="58" t="str">
        <f>Table1[[#This Row],[Tabela]]&amp;Table1[[#This Row],[Campo]]</f>
        <v>modesg_inp_emss_vclsmarca</v>
      </c>
      <c r="I821" s="2" t="s">
        <v>613</v>
      </c>
      <c r="J821" s="46">
        <f>VLOOKUP(Table1[[#This Row],[Status]],Auxiliar!$B$16:$C$24,2,0)</f>
        <v>1</v>
      </c>
      <c r="K821" s="21" t="s">
        <v>1249</v>
      </c>
      <c r="L821" s="2" t="s">
        <v>1244</v>
      </c>
      <c r="M821" s="21" t="s">
        <v>1254</v>
      </c>
      <c r="N821" s="48">
        <v>45546</v>
      </c>
      <c r="O821" s="21">
        <f>INDEX(Auxiliar!$D$5:$F$13,MATCH(Table1[[#This Row],[Tipologia_Testes]],Auxiliar!$B$5:$B$13,0),MATCH(Table1[[#This Row],[Complexidade]],Auxiliar!$D$4:$F$4,0))</f>
        <v>0.1</v>
      </c>
      <c r="P821" s="2" t="s">
        <v>1307</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1296</v>
      </c>
      <c r="E822" s="2" t="s">
        <v>38</v>
      </c>
      <c r="F822" s="13" t="s">
        <v>213</v>
      </c>
      <c r="G822" s="13" t="s">
        <v>226</v>
      </c>
      <c r="H822" s="58" t="str">
        <f>Table1[[#This Row],[Tabela]]&amp;Table1[[#This Row],[Campo]]</f>
        <v>modesg_inp_emss_vclsmarca</v>
      </c>
      <c r="I822" s="2" t="s">
        <v>613</v>
      </c>
      <c r="J822" s="46">
        <f>VLOOKUP(Table1[[#This Row],[Status]],Auxiliar!$B$16:$C$24,2,0)</f>
        <v>1</v>
      </c>
      <c r="K822" s="21" t="s">
        <v>1257</v>
      </c>
      <c r="L822" s="2" t="s">
        <v>1244</v>
      </c>
      <c r="M822" s="21" t="s">
        <v>1254</v>
      </c>
      <c r="N822" s="48">
        <v>45546</v>
      </c>
      <c r="O822" s="21">
        <f>INDEX(Auxiliar!$D$5:$F$13,MATCH(Table1[[#This Row],[Tipologia_Testes]],Auxiliar!$B$5:$B$13,0),MATCH(Table1[[#This Row],[Complexidade]],Auxiliar!$D$4:$F$4,0))</f>
        <v>0.5</v>
      </c>
      <c r="P822" s="23" t="s">
        <v>1308</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1296</v>
      </c>
      <c r="E823" s="2" t="s">
        <v>38</v>
      </c>
      <c r="F823" s="13" t="s">
        <v>213</v>
      </c>
      <c r="G823" s="13" t="s">
        <v>227</v>
      </c>
      <c r="H823" s="58" t="str">
        <f>Table1[[#This Row],[Tabela]]&amp;Table1[[#This Row],[Campo]]</f>
        <v>modesg_inp_emss_vclsmodelo</v>
      </c>
      <c r="I823" s="2" t="s">
        <v>613</v>
      </c>
      <c r="J823" s="46">
        <f>VLOOKUP(Table1[[#This Row],[Status]],Auxiliar!$B$16:$C$24,2,0)</f>
        <v>1</v>
      </c>
      <c r="K823" s="21" t="s">
        <v>1249</v>
      </c>
      <c r="L823" s="2" t="s">
        <v>1244</v>
      </c>
      <c r="M823" s="21" t="s">
        <v>1254</v>
      </c>
      <c r="N823" s="48">
        <v>45546</v>
      </c>
      <c r="O823" s="21">
        <f>INDEX(Auxiliar!$D$5:$F$13,MATCH(Table1[[#This Row],[Tipologia_Testes]],Auxiliar!$B$5:$B$13,0),MATCH(Table1[[#This Row],[Complexidade]],Auxiliar!$D$4:$F$4,0))</f>
        <v>0.1</v>
      </c>
      <c r="P823" s="2" t="s">
        <v>1307</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1296</v>
      </c>
      <c r="E824" s="2" t="s">
        <v>38</v>
      </c>
      <c r="F824" s="13" t="s">
        <v>213</v>
      </c>
      <c r="G824" s="13" t="s">
        <v>227</v>
      </c>
      <c r="H824" s="58" t="str">
        <f>Table1[[#This Row],[Tabela]]&amp;Table1[[#This Row],[Campo]]</f>
        <v>modesg_inp_emss_vclsmodelo</v>
      </c>
      <c r="I824" s="2" t="s">
        <v>613</v>
      </c>
      <c r="J824" s="46">
        <f>VLOOKUP(Table1[[#This Row],[Status]],Auxiliar!$B$16:$C$24,2,0)</f>
        <v>1</v>
      </c>
      <c r="K824" s="21" t="s">
        <v>1257</v>
      </c>
      <c r="L824" s="2" t="s">
        <v>1244</v>
      </c>
      <c r="M824" s="21" t="s">
        <v>1254</v>
      </c>
      <c r="N824" s="48">
        <v>45546</v>
      </c>
      <c r="O824" s="21">
        <f>INDEX(Auxiliar!$D$5:$F$13,MATCH(Table1[[#This Row],[Tipologia_Testes]],Auxiliar!$B$5:$B$13,0),MATCH(Table1[[#This Row],[Complexidade]],Auxiliar!$D$4:$F$4,0))</f>
        <v>0.5</v>
      </c>
      <c r="P824" s="23" t="s">
        <v>1308</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1296</v>
      </c>
      <c r="E825" s="2" t="s">
        <v>38</v>
      </c>
      <c r="F825" s="13" t="s">
        <v>213</v>
      </c>
      <c r="G825" s="13" t="s">
        <v>228</v>
      </c>
      <c r="H825" s="58" t="str">
        <f>Table1[[#This Row],[Tabela]]&amp;Table1[[#This Row],[Campo]]</f>
        <v>modesg_inp_emss_vclssubgrupo</v>
      </c>
      <c r="I825" s="2" t="s">
        <v>613</v>
      </c>
      <c r="J825" s="46">
        <f>VLOOKUP(Table1[[#This Row],[Status]],Auxiliar!$B$16:$C$24,2,0)</f>
        <v>1</v>
      </c>
      <c r="K825" s="21" t="s">
        <v>1249</v>
      </c>
      <c r="L825" s="2" t="s">
        <v>650</v>
      </c>
      <c r="M825" s="21" t="s">
        <v>1254</v>
      </c>
      <c r="N825" s="48">
        <v>45546</v>
      </c>
      <c r="O825" s="21">
        <f>INDEX(Auxiliar!$D$5:$F$13,MATCH(Table1[[#This Row],[Tipologia_Testes]],Auxiliar!$B$5:$B$13,0),MATCH(Table1[[#This Row],[Complexidade]],Auxiliar!$D$4:$F$4,0))</f>
        <v>0.1</v>
      </c>
      <c r="P825" s="2" t="s">
        <v>1307</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1296</v>
      </c>
      <c r="E826" s="2" t="s">
        <v>38</v>
      </c>
      <c r="F826" s="13" t="s">
        <v>213</v>
      </c>
      <c r="G826" s="13" t="s">
        <v>228</v>
      </c>
      <c r="H826" s="58" t="str">
        <f>Table1[[#This Row],[Tabela]]&amp;Table1[[#This Row],[Campo]]</f>
        <v>modesg_inp_emss_vclssubgrupo</v>
      </c>
      <c r="I826" s="2" t="s">
        <v>613</v>
      </c>
      <c r="J826" s="46">
        <f>VLOOKUP(Table1[[#This Row],[Status]],Auxiliar!$B$16:$C$24,2,0)</f>
        <v>1</v>
      </c>
      <c r="K826" s="21" t="s">
        <v>1257</v>
      </c>
      <c r="L826" s="2" t="s">
        <v>650</v>
      </c>
      <c r="M826" s="21" t="s">
        <v>1254</v>
      </c>
      <c r="N826" s="48">
        <v>45546</v>
      </c>
      <c r="O826" s="21">
        <f>INDEX(Auxiliar!$D$5:$F$13,MATCH(Table1[[#This Row],[Tipologia_Testes]],Auxiliar!$B$5:$B$13,0),MATCH(Table1[[#This Row],[Complexidade]],Auxiliar!$D$4:$F$4,0))</f>
        <v>0.5</v>
      </c>
      <c r="P826" s="2" t="s">
        <v>1306</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1296</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1249</v>
      </c>
      <c r="L827" s="21" t="s">
        <v>1252</v>
      </c>
      <c r="M827" s="21" t="s">
        <v>1254</v>
      </c>
      <c r="N827" s="48">
        <v>45546</v>
      </c>
      <c r="O827" s="21">
        <f>INDEX(Auxiliar!$D$5:$F$13,MATCH(Table1[[#This Row],[Tipologia_Testes]],Auxiliar!$B$5:$B$13,0),MATCH(Table1[[#This Row],[Complexidade]],Auxiliar!$D$4:$F$4,0))</f>
        <v>0.1</v>
      </c>
      <c r="P827" s="2" t="s">
        <v>1307</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1296</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1257</v>
      </c>
      <c r="L828" s="21" t="s">
        <v>1252</v>
      </c>
      <c r="M828" s="21" t="s">
        <v>1254</v>
      </c>
      <c r="N828" s="48">
        <v>45546</v>
      </c>
      <c r="O828" s="21">
        <f>INDEX(Auxiliar!$D$5:$F$13,MATCH(Table1[[#This Row],[Tipologia_Testes]],Auxiliar!$B$5:$B$13,0),MATCH(Table1[[#This Row],[Complexidade]],Auxiliar!$D$4:$F$4,0))</f>
        <v>0.5</v>
      </c>
      <c r="P828" s="2" t="s">
        <v>1306</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1296</v>
      </c>
      <c r="E829" s="2" t="s">
        <v>38</v>
      </c>
      <c r="F829" s="13" t="s">
        <v>213</v>
      </c>
      <c r="G829" s="13" t="s">
        <v>230</v>
      </c>
      <c r="H829" s="58" t="str">
        <f>Table1[[#This Row],[Tabela]]&amp;Table1[[#This Row],[Campo]]</f>
        <v>modesg_inp_emss_vclsunidade_funcional</v>
      </c>
      <c r="I829" s="2" t="s">
        <v>613</v>
      </c>
      <c r="J829" s="46">
        <f>VLOOKUP(Table1[[#This Row],[Status]],Auxiliar!$B$16:$C$24,2,0)</f>
        <v>1</v>
      </c>
      <c r="K829" s="21" t="s">
        <v>1249</v>
      </c>
      <c r="L829" s="21" t="s">
        <v>1252</v>
      </c>
      <c r="M829" s="21" t="s">
        <v>1254</v>
      </c>
      <c r="N829" s="48">
        <v>45546</v>
      </c>
      <c r="O829" s="21">
        <f>INDEX(Auxiliar!$D$5:$F$13,MATCH(Table1[[#This Row],[Tipologia_Testes]],Auxiliar!$B$5:$B$13,0),MATCH(Table1[[#This Row],[Complexidade]],Auxiliar!$D$4:$F$4,0))</f>
        <v>0.1</v>
      </c>
      <c r="P829" s="2" t="s">
        <v>1307</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1296</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1257</v>
      </c>
      <c r="L830" s="21" t="s">
        <v>1252</v>
      </c>
      <c r="M830" s="21" t="s">
        <v>1254</v>
      </c>
      <c r="N830" s="48">
        <v>45546</v>
      </c>
      <c r="O830" s="21">
        <f>INDEX(Auxiliar!$D$5:$F$13,MATCH(Table1[[#This Row],[Tipologia_Testes]],Auxiliar!$B$5:$B$13,0),MATCH(Table1[[#This Row],[Complexidade]],Auxiliar!$D$4:$F$4,0))</f>
        <v>0.5</v>
      </c>
      <c r="P830" s="2" t="s">
        <v>1306</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1296</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1249</v>
      </c>
      <c r="L831" s="21" t="s">
        <v>1252</v>
      </c>
      <c r="M831" s="21" t="s">
        <v>1254</v>
      </c>
      <c r="N831" s="48">
        <v>45546</v>
      </c>
      <c r="O831" s="21">
        <f>INDEX(Auxiliar!$D$5:$F$13,MATCH(Table1[[#This Row],[Tipologia_Testes]],Auxiliar!$B$5:$B$13,0),MATCH(Table1[[#This Row],[Complexidade]],Auxiliar!$D$4:$F$4,0))</f>
        <v>0.1</v>
      </c>
      <c r="P831" s="2" t="s">
        <v>1307</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1296</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1257</v>
      </c>
      <c r="L832" s="21" t="s">
        <v>1252</v>
      </c>
      <c r="M832" s="21" t="s">
        <v>1254</v>
      </c>
      <c r="N832" s="48">
        <v>45546</v>
      </c>
      <c r="O832" s="21">
        <f>INDEX(Auxiliar!$D$5:$F$13,MATCH(Table1[[#This Row],[Tipologia_Testes]],Auxiliar!$B$5:$B$13,0),MATCH(Table1[[#This Row],[Complexidade]],Auxiliar!$D$4:$F$4,0))</f>
        <v>0.5</v>
      </c>
      <c r="P832" s="2" t="s">
        <v>1306</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1296</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1249</v>
      </c>
      <c r="L833" s="21" t="s">
        <v>1252</v>
      </c>
      <c r="M833" s="21" t="s">
        <v>1254</v>
      </c>
      <c r="N833" s="48">
        <v>45546</v>
      </c>
      <c r="O833" s="21">
        <f>INDEX(Auxiliar!$D$5:$F$13,MATCH(Table1[[#This Row],[Tipologia_Testes]],Auxiliar!$B$5:$B$13,0),MATCH(Table1[[#This Row],[Complexidade]],Auxiliar!$D$4:$F$4,0))</f>
        <v>0.1</v>
      </c>
      <c r="P833" s="2" t="s">
        <v>1307</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1296</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1257</v>
      </c>
      <c r="L834" s="21" t="s">
        <v>1252</v>
      </c>
      <c r="M834" s="21" t="s">
        <v>1254</v>
      </c>
      <c r="N834" s="48">
        <v>45546</v>
      </c>
      <c r="O834" s="21">
        <f>INDEX(Auxiliar!$D$5:$F$13,MATCH(Table1[[#This Row],[Tipologia_Testes]],Auxiliar!$B$5:$B$13,0),MATCH(Table1[[#This Row],[Complexidade]],Auxiliar!$D$4:$F$4,0))</f>
        <v>0.5</v>
      </c>
      <c r="P834" s="2" t="s">
        <v>1306</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1296</v>
      </c>
      <c r="E835" s="2" t="s">
        <v>38</v>
      </c>
      <c r="F835" s="13" t="s">
        <v>213</v>
      </c>
      <c r="G835" s="13" t="s">
        <v>233</v>
      </c>
      <c r="H835" s="58" t="str">
        <f>Table1[[#This Row],[Tabela]]&amp;Table1[[#This Row],[Campo]]</f>
        <v>modesg_inp_emss_vclsscore_qualidade</v>
      </c>
      <c r="I835" s="2" t="s">
        <v>613</v>
      </c>
      <c r="J835" s="46">
        <f>VLOOKUP(Table1[[#This Row],[Status]],Auxiliar!$B$16:$C$24,2,0)</f>
        <v>1</v>
      </c>
      <c r="K835" s="21" t="s">
        <v>1249</v>
      </c>
      <c r="L835" s="2" t="s">
        <v>1244</v>
      </c>
      <c r="M835" s="21" t="s">
        <v>1254</v>
      </c>
      <c r="N835" s="48">
        <v>45546</v>
      </c>
      <c r="O835" s="21">
        <f>INDEX(Auxiliar!$D$5:$F$13,MATCH(Table1[[#This Row],[Tipologia_Testes]],Auxiliar!$B$5:$B$13,0),MATCH(Table1[[#This Row],[Complexidade]],Auxiliar!$D$4:$F$4,0))</f>
        <v>0.1</v>
      </c>
      <c r="P835" s="2" t="s">
        <v>1307</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1296</v>
      </c>
      <c r="E836" s="2" t="s">
        <v>38</v>
      </c>
      <c r="F836" s="13" t="s">
        <v>213</v>
      </c>
      <c r="G836" s="13" t="s">
        <v>233</v>
      </c>
      <c r="H836" s="58" t="str">
        <f>Table1[[#This Row],[Tabela]]&amp;Table1[[#This Row],[Campo]]</f>
        <v>modesg_inp_emss_vclsscore_qualidade</v>
      </c>
      <c r="I836" s="2" t="s">
        <v>613</v>
      </c>
      <c r="J836" s="46">
        <f>VLOOKUP(Table1[[#This Row],[Status]],Auxiliar!$B$16:$C$24,2,0)</f>
        <v>1</v>
      </c>
      <c r="K836" s="21" t="s">
        <v>1257</v>
      </c>
      <c r="L836" s="2" t="s">
        <v>1244</v>
      </c>
      <c r="M836" s="21" t="s">
        <v>1254</v>
      </c>
      <c r="N836" s="48">
        <v>45546</v>
      </c>
      <c r="O836" s="21">
        <f>INDEX(Auxiliar!$D$5:$F$13,MATCH(Table1[[#This Row],[Tipologia_Testes]],Auxiliar!$B$5:$B$13,0),MATCH(Table1[[#This Row],[Complexidade]],Auxiliar!$D$4:$F$4,0))</f>
        <v>0.5</v>
      </c>
      <c r="P836" s="23" t="s">
        <v>1308</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1296</v>
      </c>
      <c r="E837" s="2" t="s">
        <v>38</v>
      </c>
      <c r="F837" s="13" t="s">
        <v>213</v>
      </c>
      <c r="G837" s="13" t="s">
        <v>234</v>
      </c>
      <c r="H837" s="58" t="str">
        <f>Table1[[#This Row],[Tabela]]&amp;Table1[[#This Row],[Campo]]</f>
        <v>modesg_inp_emss_vclsscp1_ftr_emss</v>
      </c>
      <c r="I837" s="2" t="s">
        <v>613</v>
      </c>
      <c r="J837" s="46">
        <f>VLOOKUP(Table1[[#This Row],[Status]],Auxiliar!$B$16:$C$24,2,0)</f>
        <v>1</v>
      </c>
      <c r="K837" s="21" t="s">
        <v>1249</v>
      </c>
      <c r="L837" s="2" t="s">
        <v>1244</v>
      </c>
      <c r="M837" s="21" t="s">
        <v>1254</v>
      </c>
      <c r="N837" s="48">
        <v>45546</v>
      </c>
      <c r="O837" s="21">
        <f>INDEX(Auxiliar!$D$5:$F$13,MATCH(Table1[[#This Row],[Tipologia_Testes]],Auxiliar!$B$5:$B$13,0),MATCH(Table1[[#This Row],[Complexidade]],Auxiliar!$D$4:$F$4,0))</f>
        <v>0.1</v>
      </c>
      <c r="P837" s="2" t="s">
        <v>1309</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1296</v>
      </c>
      <c r="E838" s="2" t="s">
        <v>38</v>
      </c>
      <c r="F838" s="13" t="s">
        <v>213</v>
      </c>
      <c r="G838" s="13" t="s">
        <v>234</v>
      </c>
      <c r="H838" s="58" t="str">
        <f>Table1[[#This Row],[Tabela]]&amp;Table1[[#This Row],[Campo]]</f>
        <v>modesg_inp_emss_vclsscp1_ftr_emss</v>
      </c>
      <c r="I838" s="2" t="s">
        <v>613</v>
      </c>
      <c r="J838" s="46">
        <f>VLOOKUP(Table1[[#This Row],[Status]],Auxiliar!$B$16:$C$24,2,0)</f>
        <v>1</v>
      </c>
      <c r="K838" s="21" t="s">
        <v>1257</v>
      </c>
      <c r="L838" s="2" t="s">
        <v>1244</v>
      </c>
      <c r="M838" s="21" t="s">
        <v>1254</v>
      </c>
      <c r="N838" s="48">
        <v>45546</v>
      </c>
      <c r="O838" s="21">
        <f>INDEX(Auxiliar!$D$5:$F$13,MATCH(Table1[[#This Row],[Tipologia_Testes]],Auxiliar!$B$5:$B$13,0),MATCH(Table1[[#This Row],[Complexidade]],Auxiliar!$D$4:$F$4,0))</f>
        <v>0.5</v>
      </c>
      <c r="P838" s="23" t="s">
        <v>1308</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1296</v>
      </c>
      <c r="E839" s="2" t="s">
        <v>38</v>
      </c>
      <c r="F839" s="13" t="s">
        <v>213</v>
      </c>
      <c r="G839" s="13" t="s">
        <v>235</v>
      </c>
      <c r="H839" s="58" t="str">
        <f>Table1[[#This Row],[Tabela]]&amp;Table1[[#This Row],[Campo]]</f>
        <v>modesg_inp_emss_vclsscp2_ftr_emss</v>
      </c>
      <c r="I839" s="2" t="s">
        <v>613</v>
      </c>
      <c r="J839" s="46">
        <f>VLOOKUP(Table1[[#This Row],[Status]],Auxiliar!$B$16:$C$24,2,0)</f>
        <v>1</v>
      </c>
      <c r="K839" s="21" t="s">
        <v>1249</v>
      </c>
      <c r="L839" s="2" t="s">
        <v>1244</v>
      </c>
      <c r="M839" s="21" t="s">
        <v>1254</v>
      </c>
      <c r="N839" s="48">
        <v>45546</v>
      </c>
      <c r="O839" s="21">
        <f>INDEX(Auxiliar!$D$5:$F$13,MATCH(Table1[[#This Row],[Tipologia_Testes]],Auxiliar!$B$5:$B$13,0),MATCH(Table1[[#This Row],[Complexidade]],Auxiliar!$D$4:$F$4,0))</f>
        <v>0.1</v>
      </c>
      <c r="P839" s="2" t="s">
        <v>1309</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1296</v>
      </c>
      <c r="E840" s="2" t="s">
        <v>38</v>
      </c>
      <c r="F840" s="13" t="s">
        <v>213</v>
      </c>
      <c r="G840" s="13" t="s">
        <v>235</v>
      </c>
      <c r="H840" s="58" t="str">
        <f>Table1[[#This Row],[Tabela]]&amp;Table1[[#This Row],[Campo]]</f>
        <v>modesg_inp_emss_vclsscp2_ftr_emss</v>
      </c>
      <c r="I840" s="2" t="s">
        <v>613</v>
      </c>
      <c r="J840" s="46">
        <f>VLOOKUP(Table1[[#This Row],[Status]],Auxiliar!$B$16:$C$24,2,0)</f>
        <v>1</v>
      </c>
      <c r="K840" s="21" t="s">
        <v>1257</v>
      </c>
      <c r="L840" s="2" t="s">
        <v>1244</v>
      </c>
      <c r="M840" s="21" t="s">
        <v>1254</v>
      </c>
      <c r="N840" s="48">
        <v>45546</v>
      </c>
      <c r="O840" s="21">
        <f>INDEX(Auxiliar!$D$5:$F$13,MATCH(Table1[[#This Row],[Tipologia_Testes]],Auxiliar!$B$5:$B$13,0),MATCH(Table1[[#This Row],[Complexidade]],Auxiliar!$D$4:$F$4,0))</f>
        <v>0.5</v>
      </c>
      <c r="P840" s="23" t="s">
        <v>1308</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1296</v>
      </c>
      <c r="E841" s="2" t="s">
        <v>38</v>
      </c>
      <c r="F841" s="13" t="s">
        <v>213</v>
      </c>
      <c r="G841" s="13" t="s">
        <v>236</v>
      </c>
      <c r="H841" s="58" t="str">
        <f>Table1[[#This Row],[Tabela]]&amp;Table1[[#This Row],[Campo]]</f>
        <v>modesg_inp_emss_vclsscp3_ftr_emss</v>
      </c>
      <c r="I841" s="2" t="s">
        <v>613</v>
      </c>
      <c r="J841" s="46">
        <f>VLOOKUP(Table1[[#This Row],[Status]],Auxiliar!$B$16:$C$24,2,0)</f>
        <v>1</v>
      </c>
      <c r="K841" s="21" t="s">
        <v>1249</v>
      </c>
      <c r="L841" s="2" t="s">
        <v>1244</v>
      </c>
      <c r="M841" s="21" t="s">
        <v>1254</v>
      </c>
      <c r="N841" s="48">
        <v>45546</v>
      </c>
      <c r="O841" s="21">
        <f>INDEX(Auxiliar!$D$5:$F$13,MATCH(Table1[[#This Row],[Tipologia_Testes]],Auxiliar!$B$5:$B$13,0),MATCH(Table1[[#This Row],[Complexidade]],Auxiliar!$D$4:$F$4,0))</f>
        <v>0.1</v>
      </c>
      <c r="P841" s="2" t="s">
        <v>1310</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1296</v>
      </c>
      <c r="E842" s="2" t="s">
        <v>38</v>
      </c>
      <c r="F842" s="13" t="s">
        <v>213</v>
      </c>
      <c r="G842" s="13" t="s">
        <v>236</v>
      </c>
      <c r="H842" s="58" t="str">
        <f>Table1[[#This Row],[Tabela]]&amp;Table1[[#This Row],[Campo]]</f>
        <v>modesg_inp_emss_vclsscp3_ftr_emss</v>
      </c>
      <c r="I842" s="2" t="s">
        <v>613</v>
      </c>
      <c r="J842" s="46">
        <f>VLOOKUP(Table1[[#This Row],[Status]],Auxiliar!$B$16:$C$24,2,0)</f>
        <v>1</v>
      </c>
      <c r="K842" s="21" t="s">
        <v>1257</v>
      </c>
      <c r="L842" s="2" t="s">
        <v>1244</v>
      </c>
      <c r="M842" s="21" t="s">
        <v>1254</v>
      </c>
      <c r="N842" s="48">
        <v>45546</v>
      </c>
      <c r="O842" s="21">
        <f>INDEX(Auxiliar!$D$5:$F$13,MATCH(Table1[[#This Row],[Tipologia_Testes]],Auxiliar!$B$5:$B$13,0),MATCH(Table1[[#This Row],[Complexidade]],Auxiliar!$D$4:$F$4,0))</f>
        <v>0.5</v>
      </c>
      <c r="P842" s="23" t="s">
        <v>1311</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1296</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1257</v>
      </c>
      <c r="L843" s="28"/>
      <c r="M843" s="21" t="s">
        <v>1254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1249</v>
      </c>
      <c r="L844" s="28"/>
      <c r="M844" s="21" t="s">
        <v>1254</v>
      </c>
      <c r="N844" s="48">
        <v>45537</v>
      </c>
      <c r="O844" s="21">
        <f>INDEX(Auxiliar!$D$5:$F$13,MATCH(Table1[[#This Row],[Tipologia_Testes]],Auxiliar!$B$5:$B$13,0),MATCH(Table1[[#This Row],[Complexidade]],Auxiliar!$D$4:$F$4,0))</f>
        <v>0.1</v>
      </c>
      <c r="P844" s="2" t="s">
        <v>1312</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1296</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1257</v>
      </c>
      <c r="L845" s="28"/>
      <c r="M845" s="21" t="s">
        <v>1254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1249</v>
      </c>
      <c r="L846" s="2" t="s">
        <v>1244</v>
      </c>
      <c r="M846" s="21" t="s">
        <v>1254</v>
      </c>
      <c r="N846" s="48">
        <v>45537</v>
      </c>
      <c r="O846" s="21">
        <f>INDEX(Auxiliar!$D$5:$F$13,MATCH(Table1[[#This Row],[Tipologia_Testes]],Auxiliar!$B$5:$B$13,0),MATCH(Table1[[#This Row],[Complexidade]],Auxiliar!$D$4:$F$4,0))</f>
        <v>0.1</v>
      </c>
      <c r="P846" s="2" t="s">
        <v>1313</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1296</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1257</v>
      </c>
      <c r="L847" s="2" t="s">
        <v>1244</v>
      </c>
      <c r="M847" s="21" t="s">
        <v>1254</v>
      </c>
      <c r="N847" s="48">
        <v>45537</v>
      </c>
      <c r="O847" s="21">
        <f>INDEX(Auxiliar!$D$5:$F$13,MATCH(Table1[[#This Row],[Tipologia_Testes]],Auxiliar!$B$5:$B$13,0),MATCH(Table1[[#This Row],[Complexidade]],Auxiliar!$D$4:$F$4,0))</f>
        <v>0.5</v>
      </c>
      <c r="P847" s="2" t="s">
        <v>1314</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1296</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1249</v>
      </c>
      <c r="L848" s="28"/>
      <c r="M848" s="21" t="s">
        <v>1254</v>
      </c>
      <c r="N848" s="48">
        <v>45537</v>
      </c>
      <c r="O848" s="21">
        <f>INDEX(Auxiliar!$D$5:$F$13,MATCH(Table1[[#This Row],[Tipologia_Testes]],Auxiliar!$B$5:$B$13,0),MATCH(Table1[[#This Row],[Complexidade]],Auxiliar!$D$4:$F$4,0))</f>
        <v>0.1</v>
      </c>
      <c r="P848" s="2" t="s">
        <v>1312</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1296</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1257</v>
      </c>
      <c r="L849" s="28"/>
      <c r="M849" s="21" t="s">
        <v>1254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1296</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1249</v>
      </c>
      <c r="L850" s="2" t="s">
        <v>650</v>
      </c>
      <c r="M850" s="21" t="s">
        <v>1254</v>
      </c>
      <c r="N850" s="48">
        <v>45537</v>
      </c>
      <c r="O850" s="21">
        <f>INDEX(Auxiliar!$D$5:$F$13,MATCH(Table1[[#This Row],[Tipologia_Testes]],Auxiliar!$B$5:$B$13,0),MATCH(Table1[[#This Row],[Complexidade]],Auxiliar!$D$4:$F$4,0))</f>
        <v>0.1</v>
      </c>
      <c r="P850" s="2" t="s">
        <v>1312</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1296</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1257</v>
      </c>
      <c r="L851" s="2" t="s">
        <v>650</v>
      </c>
      <c r="M851" s="21" t="s">
        <v>1254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1296</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1249</v>
      </c>
      <c r="L852" s="28"/>
      <c r="M852" s="21" t="s">
        <v>1254</v>
      </c>
      <c r="N852" s="48">
        <v>45537</v>
      </c>
      <c r="O852" s="21">
        <f>INDEX(Auxiliar!$D$5:$F$13,MATCH(Table1[[#This Row],[Tipologia_Testes]],Auxiliar!$B$5:$B$13,0),MATCH(Table1[[#This Row],[Complexidade]],Auxiliar!$D$4:$F$4,0))</f>
        <v>0.1</v>
      </c>
      <c r="P852" s="2" t="s">
        <v>1312</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1296</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1257</v>
      </c>
      <c r="L853" s="28"/>
      <c r="M853" s="21" t="s">
        <v>1254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1300</v>
      </c>
      <c r="E854" s="2" t="s">
        <v>38</v>
      </c>
      <c r="F854" s="13" t="s">
        <v>215</v>
      </c>
      <c r="G854" s="13" t="s">
        <v>208</v>
      </c>
      <c r="H854" s="58" t="str">
        <f>Table1[[#This Row],[Tabela]]&amp;Table1[[#This Row],[Campo]]</f>
        <v>modesg_inp_empr_excl_parisref_date</v>
      </c>
      <c r="I854" s="3" t="s">
        <v>613</v>
      </c>
      <c r="J854" s="54">
        <f>VLOOKUP(Table1[[#This Row],[Status]],Auxiliar!$B$16:$C$24,2,0)</f>
        <v>1</v>
      </c>
      <c r="K854" s="21" t="s">
        <v>1257</v>
      </c>
      <c r="L854" s="2" t="s">
        <v>1252</v>
      </c>
      <c r="M854" s="21" t="s">
        <v>1254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1315</v>
      </c>
    </row>
    <row r="855" spans="2:24" ht="17.7" hidden="1" customHeight="1">
      <c r="B855" s="13" t="s">
        <v>26</v>
      </c>
      <c r="C855" s="13" t="s">
        <v>181</v>
      </c>
      <c r="D855" s="13" t="s">
        <v>1300</v>
      </c>
      <c r="E855" s="2" t="s">
        <v>38</v>
      </c>
      <c r="F855" s="13" t="s">
        <v>215</v>
      </c>
      <c r="G855" s="13" t="s">
        <v>239</v>
      </c>
      <c r="H855" s="58" t="str">
        <f>Table1[[#This Row],[Tabela]]&amp;Table1[[#This Row],[Campo]]</f>
        <v>modesg_inp_empr_excl_parisisin</v>
      </c>
      <c r="I855" s="3" t="s">
        <v>613</v>
      </c>
      <c r="J855" s="54">
        <f>VLOOKUP(Table1[[#This Row],[Status]],Auxiliar!$B$16:$C$24,2,0)</f>
        <v>1</v>
      </c>
      <c r="K855" s="21" t="s">
        <v>1249</v>
      </c>
      <c r="L855" s="2" t="s">
        <v>1252</v>
      </c>
      <c r="M855" s="21" t="s">
        <v>1254</v>
      </c>
      <c r="N855" s="48">
        <v>45485</v>
      </c>
      <c r="O855" s="21">
        <f>INDEX(Auxiliar!$D$5:$F$13,MATCH(Table1[[#This Row],[Tipologia_Testes]],Auxiliar!$B$5:$B$13,0),MATCH(Table1[[#This Row],[Complexidade]],Auxiliar!$D$4:$F$4,0))</f>
        <v>0.1</v>
      </c>
      <c r="P855" s="2" t="s">
        <v>1316</v>
      </c>
      <c r="Q855" s="2"/>
      <c r="R855" s="152">
        <v>45261</v>
      </c>
      <c r="S855" s="152"/>
      <c r="T855" s="152"/>
      <c r="U855" s="152">
        <v>45603</v>
      </c>
      <c r="V855" s="152"/>
      <c r="W855" s="2">
        <f>VLOOKUP(Table1[[#This Row],[Status]],Auxiliar!$B$16:$D$24,3,0)*Table1[[#This Row],[Estimação (horas)]]</f>
        <v>0.1</v>
      </c>
      <c r="X855" s="2" t="s">
        <v>1315</v>
      </c>
    </row>
    <row r="856" spans="2:24" ht="17.7" hidden="1" customHeight="1">
      <c r="B856" s="13" t="s">
        <v>26</v>
      </c>
      <c r="C856" s="13" t="s">
        <v>181</v>
      </c>
      <c r="D856" s="13" t="s">
        <v>1300</v>
      </c>
      <c r="E856" s="2" t="s">
        <v>38</v>
      </c>
      <c r="F856" s="13" t="s">
        <v>215</v>
      </c>
      <c r="G856" s="13" t="s">
        <v>239</v>
      </c>
      <c r="H856" s="58" t="str">
        <f>Table1[[#This Row],[Tabela]]&amp;Table1[[#This Row],[Campo]]</f>
        <v>modesg_inp_empr_excl_parisisin</v>
      </c>
      <c r="I856" s="3" t="s">
        <v>613</v>
      </c>
      <c r="J856" s="54">
        <f>VLOOKUP(Table1[[#This Row],[Status]],Auxiliar!$B$16:$C$24,2,0)</f>
        <v>1</v>
      </c>
      <c r="K856" s="21" t="s">
        <v>1257</v>
      </c>
      <c r="L856" s="2" t="s">
        <v>1244</v>
      </c>
      <c r="M856" s="21" t="s">
        <v>1254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1315</v>
      </c>
    </row>
    <row r="857" spans="2:24" ht="17.7" hidden="1" customHeight="1">
      <c r="B857" s="13" t="s">
        <v>26</v>
      </c>
      <c r="C857" s="13" t="s">
        <v>181</v>
      </c>
      <c r="D857" s="13" t="s">
        <v>1300</v>
      </c>
      <c r="E857" s="2" t="s">
        <v>38</v>
      </c>
      <c r="F857" s="13" t="s">
        <v>215</v>
      </c>
      <c r="G857" s="13" t="s">
        <v>240</v>
      </c>
      <c r="H857" s="58" t="str">
        <f>Table1[[#This Row],[Tabela]]&amp;Table1[[#This Row],[Campo]]</f>
        <v>modesg_inp_empr_excl_parisclei</v>
      </c>
      <c r="I857" s="3" t="s">
        <v>613</v>
      </c>
      <c r="J857" s="54">
        <f>VLOOKUP(Table1[[#This Row],[Status]],Auxiliar!$B$16:$C$24,2,0)</f>
        <v>1</v>
      </c>
      <c r="K857" s="21" t="s">
        <v>1249</v>
      </c>
      <c r="L857" s="2" t="s">
        <v>1252</v>
      </c>
      <c r="M857" s="21" t="s">
        <v>1254</v>
      </c>
      <c r="N857" s="48">
        <v>45485</v>
      </c>
      <c r="O857" s="21">
        <f>INDEX(Auxiliar!$D$5:$F$13,MATCH(Table1[[#This Row],[Tipologia_Testes]],Auxiliar!$B$5:$B$13,0),MATCH(Table1[[#This Row],[Complexidade]],Auxiliar!$D$4:$F$4,0))</f>
        <v>0.1</v>
      </c>
      <c r="P857" s="2" t="s">
        <v>1316</v>
      </c>
      <c r="Q857" s="2"/>
      <c r="R857" s="152">
        <v>45261</v>
      </c>
      <c r="S857" s="152"/>
      <c r="T857" s="152"/>
      <c r="U857" s="152">
        <v>45603</v>
      </c>
      <c r="V857" s="152"/>
      <c r="W857" s="2">
        <f>VLOOKUP(Table1[[#This Row],[Status]],Auxiliar!$B$16:$D$24,3,0)*Table1[[#This Row],[Estimação (horas)]]</f>
        <v>0.1</v>
      </c>
      <c r="X857" s="2" t="s">
        <v>1315</v>
      </c>
    </row>
    <row r="858" spans="2:24" ht="17.7" hidden="1" customHeight="1">
      <c r="B858" s="13" t="s">
        <v>26</v>
      </c>
      <c r="C858" s="13" t="s">
        <v>181</v>
      </c>
      <c r="D858" s="13" t="s">
        <v>1300</v>
      </c>
      <c r="E858" s="2" t="s">
        <v>38</v>
      </c>
      <c r="F858" s="13" t="s">
        <v>215</v>
      </c>
      <c r="G858" s="13" t="s">
        <v>240</v>
      </c>
      <c r="H858" s="58" t="str">
        <f>Table1[[#This Row],[Tabela]]&amp;Table1[[#This Row],[Campo]]</f>
        <v>modesg_inp_empr_excl_parisclei</v>
      </c>
      <c r="I858" s="3" t="s">
        <v>613</v>
      </c>
      <c r="J858" s="54">
        <f>VLOOKUP(Table1[[#This Row],[Status]],Auxiliar!$B$16:$C$24,2,0)</f>
        <v>1</v>
      </c>
      <c r="K858" s="21" t="s">
        <v>1257</v>
      </c>
      <c r="L858" s="2" t="s">
        <v>1252</v>
      </c>
      <c r="M858" s="21" t="s">
        <v>1254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1315</v>
      </c>
    </row>
    <row r="859" spans="2:24" ht="17.7" hidden="1" customHeight="1">
      <c r="B859" s="13" t="s">
        <v>26</v>
      </c>
      <c r="C859" s="13" t="s">
        <v>181</v>
      </c>
      <c r="D859" s="13" t="s">
        <v>1300</v>
      </c>
      <c r="E859" s="2" t="s">
        <v>38</v>
      </c>
      <c r="F859" s="13" t="s">
        <v>215</v>
      </c>
      <c r="G859" s="13" t="s">
        <v>241</v>
      </c>
      <c r="H859" s="58" t="str">
        <f>Table1[[#This Row],[Tabela]]&amp;Table1[[#This Row],[Campo]]</f>
        <v>modesg_inp_empr_excl_parisccli_kgl</v>
      </c>
      <c r="I859" s="3" t="s">
        <v>613</v>
      </c>
      <c r="J859" s="54">
        <f>VLOOKUP(Table1[[#This Row],[Status]],Auxiliar!$B$16:$C$24,2,0)</f>
        <v>1</v>
      </c>
      <c r="K859" s="21" t="s">
        <v>1249</v>
      </c>
      <c r="L859" s="2" t="s">
        <v>1252</v>
      </c>
      <c r="M859" s="21" t="s">
        <v>1254</v>
      </c>
      <c r="N859" s="48">
        <v>45485</v>
      </c>
      <c r="O859" s="21">
        <f>INDEX(Auxiliar!$D$5:$F$13,MATCH(Table1[[#This Row],[Tipologia_Testes]],Auxiliar!$B$5:$B$13,0),MATCH(Table1[[#This Row],[Complexidade]],Auxiliar!$D$4:$F$4,0))</f>
        <v>0.1</v>
      </c>
      <c r="P859" s="2" t="s">
        <v>1316</v>
      </c>
      <c r="Q859" s="2"/>
      <c r="R859" s="152">
        <v>45261</v>
      </c>
      <c r="S859" s="152"/>
      <c r="T859" s="152"/>
      <c r="U859" s="152">
        <v>45603</v>
      </c>
      <c r="V859" s="152"/>
      <c r="W859" s="2">
        <f>VLOOKUP(Table1[[#This Row],[Status]],Auxiliar!$B$16:$D$24,3,0)*Table1[[#This Row],[Estimação (horas)]]</f>
        <v>0.1</v>
      </c>
      <c r="X859" s="2" t="s">
        <v>1315</v>
      </c>
    </row>
    <row r="860" spans="2:24" ht="17.7" hidden="1" customHeight="1">
      <c r="B860" s="13" t="s">
        <v>26</v>
      </c>
      <c r="C860" s="13" t="s">
        <v>181</v>
      </c>
      <c r="D860" s="13" t="s">
        <v>1300</v>
      </c>
      <c r="E860" s="2" t="s">
        <v>38</v>
      </c>
      <c r="F860" s="13" t="s">
        <v>215</v>
      </c>
      <c r="G860" s="13" t="s">
        <v>241</v>
      </c>
      <c r="H860" s="58" t="str">
        <f>Table1[[#This Row],[Tabela]]&amp;Table1[[#This Row],[Campo]]</f>
        <v>modesg_inp_empr_excl_parisccli_kgl</v>
      </c>
      <c r="I860" s="3" t="s">
        <v>613</v>
      </c>
      <c r="J860" s="54">
        <f>VLOOKUP(Table1[[#This Row],[Status]],Auxiliar!$B$16:$C$24,2,0)</f>
        <v>1</v>
      </c>
      <c r="K860" s="21" t="s">
        <v>1257</v>
      </c>
      <c r="L860" s="2" t="s">
        <v>1252</v>
      </c>
      <c r="M860" s="21" t="s">
        <v>1254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1315</v>
      </c>
    </row>
    <row r="861" spans="2:24" ht="17.7" hidden="1" customHeight="1">
      <c r="B861" s="13" t="s">
        <v>26</v>
      </c>
      <c r="C861" s="13" t="s">
        <v>181</v>
      </c>
      <c r="D861" s="13" t="s">
        <v>1300</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243</v>
      </c>
      <c r="H862" s="58" t="str">
        <f>Table1[[#This Row],[Tabela]]&amp;Table1[[#This Row],[Campo]]</f>
        <v>modesg_inp_empr_excl_parisflg_scib</v>
      </c>
      <c r="I862" s="3" t="s">
        <v>613</v>
      </c>
      <c r="J862" s="54">
        <f>VLOOKUP(Table1[[#This Row],[Status]],Auxiliar!$B$16:$C$24,2,0)</f>
        <v>1</v>
      </c>
      <c r="K862" s="21" t="s">
        <v>1257</v>
      </c>
      <c r="L862" s="2" t="s">
        <v>1252</v>
      </c>
      <c r="M862" s="21" t="s">
        <v>1254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1315</v>
      </c>
    </row>
    <row r="863" spans="2:24" ht="17.7" hidden="1" customHeight="1">
      <c r="B863" s="13" t="s">
        <v>26</v>
      </c>
      <c r="C863" s="13" t="s">
        <v>181</v>
      </c>
      <c r="D863" s="13" t="s">
        <v>1300</v>
      </c>
      <c r="E863" s="2" t="s">
        <v>38</v>
      </c>
      <c r="F863" s="13" t="s">
        <v>215</v>
      </c>
      <c r="G863" s="13" t="s">
        <v>222</v>
      </c>
      <c r="H863" s="58" t="str">
        <f>Table1[[#This Row],[Tabela]]&amp;Table1[[#This Row],[Campo]]</f>
        <v>modesg_inp_empr_excl_parisnome_pais</v>
      </c>
      <c r="I863" s="3" t="s">
        <v>613</v>
      </c>
      <c r="J863" s="54">
        <f>VLOOKUP(Table1[[#This Row],[Status]],Auxiliar!$B$16:$C$24,2,0)</f>
        <v>1</v>
      </c>
      <c r="K863" s="21" t="s">
        <v>1257</v>
      </c>
      <c r="L863" s="28"/>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1303</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1257</v>
      </c>
      <c r="L864" s="28"/>
      <c r="M864" s="21" t="s">
        <v>1254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1303</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1249</v>
      </c>
      <c r="L865" s="28"/>
      <c r="M865" s="21" t="s">
        <v>1254</v>
      </c>
      <c r="N865" s="48">
        <v>45540</v>
      </c>
      <c r="O865" s="21">
        <f>INDEX(Auxiliar!$D$5:$F$13,MATCH(Table1[[#This Row],[Tipologia_Testes]],Auxiliar!$B$5:$B$13,0),MATCH(Table1[[#This Row],[Complexidade]],Auxiliar!$D$4:$F$4,0))</f>
        <v>0.1</v>
      </c>
      <c r="P865" s="2" t="s">
        <v>1317</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1303</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1257</v>
      </c>
      <c r="L866" s="28"/>
      <c r="M866" s="21" t="s">
        <v>1254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1303</v>
      </c>
      <c r="E867" s="2" t="s">
        <v>38</v>
      </c>
      <c r="F867" s="13" t="s">
        <v>216</v>
      </c>
      <c r="G867" s="13" t="s">
        <v>240</v>
      </c>
      <c r="H867" s="58" t="str">
        <f>Table1[[#This Row],[Tabela]]&amp;Table1[[#This Row],[Campo]]</f>
        <v>modesg_inp_nfrd_alinhamento_taxclei</v>
      </c>
      <c r="I867" s="2" t="s">
        <v>613</v>
      </c>
      <c r="J867" s="46">
        <f>VLOOKUP(Table1[[#This Row],[Status]],Auxiliar!$B$16:$C$24,2,0)</f>
        <v>1</v>
      </c>
      <c r="K867" s="21" t="s">
        <v>1249</v>
      </c>
      <c r="L867" s="28"/>
      <c r="M867" s="21" t="s">
        <v>1254</v>
      </c>
      <c r="N867" s="48">
        <v>45540</v>
      </c>
      <c r="O867" s="21">
        <f>INDEX(Auxiliar!$D$5:$F$13,MATCH(Table1[[#This Row],[Tipologia_Testes]],Auxiliar!$B$5:$B$13,0),MATCH(Table1[[#This Row],[Complexidade]],Auxiliar!$D$4:$F$4,0))</f>
        <v>0.1</v>
      </c>
      <c r="P867" s="2" t="s">
        <v>1317</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1303</v>
      </c>
      <c r="E868" s="2" t="s">
        <v>38</v>
      </c>
      <c r="F868" s="13" t="s">
        <v>216</v>
      </c>
      <c r="G868" s="13" t="s">
        <v>240</v>
      </c>
      <c r="H868" s="58" t="str">
        <f>Table1[[#This Row],[Tabela]]&amp;Table1[[#This Row],[Campo]]</f>
        <v>modesg_inp_nfrd_alinhamento_taxclei</v>
      </c>
      <c r="I868" s="2" t="s">
        <v>613</v>
      </c>
      <c r="J868" s="46">
        <f>VLOOKUP(Table1[[#This Row],[Status]],Auxiliar!$B$16:$C$24,2,0)</f>
        <v>1</v>
      </c>
      <c r="K868" s="21" t="s">
        <v>1257</v>
      </c>
      <c r="L868" s="28"/>
      <c r="M868" s="21" t="s">
        <v>1254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1303</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1257</v>
      </c>
      <c r="L870" s="28"/>
      <c r="M870" s="21" t="s">
        <v>1254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1303</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1249</v>
      </c>
      <c r="L873" s="28"/>
      <c r="M873" s="21" t="s">
        <v>1254</v>
      </c>
      <c r="N873" s="48">
        <v>45540</v>
      </c>
      <c r="O873" s="21">
        <f>INDEX(Auxiliar!$D$5:$F$13,MATCH(Table1[[#This Row],[Tipologia_Testes]],Auxiliar!$B$5:$B$13,0),MATCH(Table1[[#This Row],[Complexidade]],Auxiliar!$D$4:$F$4,0))</f>
        <v>0.1</v>
      </c>
      <c r="P873" s="2" t="s">
        <v>1318</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1303</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1249</v>
      </c>
      <c r="L875" s="28"/>
      <c r="M875" s="21" t="s">
        <v>1254</v>
      </c>
      <c r="N875" s="48">
        <v>45540</v>
      </c>
      <c r="O875" s="21">
        <f>INDEX(Auxiliar!$D$5:$F$13,MATCH(Table1[[#This Row],[Tipologia_Testes]],Auxiliar!$B$5:$B$13,0),MATCH(Table1[[#This Row],[Complexidade]],Auxiliar!$D$4:$F$4,0))</f>
        <v>0.1</v>
      </c>
      <c r="P875" s="2" t="s">
        <v>1318</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1303</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1257</v>
      </c>
      <c r="L876" s="28"/>
      <c r="M876" s="21" t="s">
        <v>1254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1303</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1249</v>
      </c>
      <c r="L877" s="28"/>
      <c r="M877" s="21" t="s">
        <v>1254</v>
      </c>
      <c r="N877" s="48">
        <v>45540</v>
      </c>
      <c r="O877" s="21">
        <f>INDEX(Auxiliar!$D$5:$F$13,MATCH(Table1[[#This Row],[Tipologia_Testes]],Auxiliar!$B$5:$B$13,0),MATCH(Table1[[#This Row],[Complexidade]],Auxiliar!$D$4:$F$4,0))</f>
        <v>0.1</v>
      </c>
      <c r="P877" s="2" t="s">
        <v>1318</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1303</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1257</v>
      </c>
      <c r="L878" s="28"/>
      <c r="M878" s="21" t="s">
        <v>1254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1303</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1249</v>
      </c>
      <c r="L879" s="28"/>
      <c r="M879" s="21" t="s">
        <v>1254</v>
      </c>
      <c r="N879" s="48">
        <v>45540</v>
      </c>
      <c r="O879" s="21">
        <f>INDEX(Auxiliar!$D$5:$F$13,MATCH(Table1[[#This Row],[Tipologia_Testes]],Auxiliar!$B$5:$B$13,0),MATCH(Table1[[#This Row],[Complexidade]],Auxiliar!$D$4:$F$4,0))</f>
        <v>0.1</v>
      </c>
      <c r="P879" s="2" t="s">
        <v>1318</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1303</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1257</v>
      </c>
      <c r="L880" s="28"/>
      <c r="M880" s="21" t="s">
        <v>1254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1303</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1249</v>
      </c>
      <c r="L881" s="28"/>
      <c r="M881" s="21" t="s">
        <v>1254</v>
      </c>
      <c r="N881" s="48">
        <v>45540</v>
      </c>
      <c r="O881" s="21">
        <f>INDEX(Auxiliar!$D$5:$F$13,MATCH(Table1[[#This Row],[Tipologia_Testes]],Auxiliar!$B$5:$B$13,0),MATCH(Table1[[#This Row],[Complexidade]],Auxiliar!$D$4:$F$4,0))</f>
        <v>0.1</v>
      </c>
      <c r="P881" s="2" t="s">
        <v>1318</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1303</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1257</v>
      </c>
      <c r="L882" s="28"/>
      <c r="M882" s="21" t="s">
        <v>1254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1303</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1249</v>
      </c>
      <c r="L883" s="28"/>
      <c r="M883" s="21" t="s">
        <v>1254</v>
      </c>
      <c r="N883" s="48">
        <v>45540</v>
      </c>
      <c r="O883" s="21">
        <f>INDEX(Auxiliar!$D$5:$F$13,MATCH(Table1[[#This Row],[Tipologia_Testes]],Auxiliar!$B$5:$B$13,0),MATCH(Table1[[#This Row],[Complexidade]],Auxiliar!$D$4:$F$4,0))</f>
        <v>0.1</v>
      </c>
      <c r="P883" s="2" t="s">
        <v>1318</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1303</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1257</v>
      </c>
      <c r="L884" s="28"/>
      <c r="M884" s="21" t="s">
        <v>1254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1303</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1249</v>
      </c>
      <c r="L885" s="28"/>
      <c r="M885" s="21" t="s">
        <v>1254</v>
      </c>
      <c r="N885" s="48">
        <v>45540</v>
      </c>
      <c r="O885" s="21">
        <f>INDEX(Auxiliar!$D$5:$F$13,MATCH(Table1[[#This Row],[Tipologia_Testes]],Auxiliar!$B$5:$B$13,0),MATCH(Table1[[#This Row],[Complexidade]],Auxiliar!$D$4:$F$4,0))</f>
        <v>0.1</v>
      </c>
      <c r="P885" s="2" t="s">
        <v>1318</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1303</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1257</v>
      </c>
      <c r="L886" s="28"/>
      <c r="M886" s="21" t="s">
        <v>1254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1303</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1249</v>
      </c>
      <c r="L887" s="28"/>
      <c r="M887" s="21" t="s">
        <v>1254</v>
      </c>
      <c r="N887" s="48">
        <v>45540</v>
      </c>
      <c r="O887" s="21">
        <f>INDEX(Auxiliar!$D$5:$F$13,MATCH(Table1[[#This Row],[Tipologia_Testes]],Auxiliar!$B$5:$B$13,0),MATCH(Table1[[#This Row],[Complexidade]],Auxiliar!$D$4:$F$4,0))</f>
        <v>0.1</v>
      </c>
      <c r="P887" s="2" t="s">
        <v>1318</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1303</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1257</v>
      </c>
      <c r="L888" s="28"/>
      <c r="M888" s="21" t="s">
        <v>1254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1303</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1249</v>
      </c>
      <c r="L889" s="28"/>
      <c r="M889" s="21" t="s">
        <v>1254</v>
      </c>
      <c r="N889" s="48">
        <v>45540</v>
      </c>
      <c r="O889" s="21">
        <f>INDEX(Auxiliar!$D$5:$F$13,MATCH(Table1[[#This Row],[Tipologia_Testes]],Auxiliar!$B$5:$B$13,0),MATCH(Table1[[#This Row],[Complexidade]],Auxiliar!$D$4:$F$4,0))</f>
        <v>0.1</v>
      </c>
      <c r="P889" s="2" t="s">
        <v>1318</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1303</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1257</v>
      </c>
      <c r="L890" s="28"/>
      <c r="M890" s="21" t="s">
        <v>1254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1303</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1249</v>
      </c>
      <c r="L891" s="28"/>
      <c r="M891" s="21" t="s">
        <v>1254</v>
      </c>
      <c r="N891" s="48">
        <v>45540</v>
      </c>
      <c r="O891" s="21">
        <f>INDEX(Auxiliar!$D$5:$F$13,MATCH(Table1[[#This Row],[Tipologia_Testes]],Auxiliar!$B$5:$B$13,0),MATCH(Table1[[#This Row],[Complexidade]],Auxiliar!$D$4:$F$4,0))</f>
        <v>0.1</v>
      </c>
      <c r="P891" s="2" t="s">
        <v>1318</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1303</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1257</v>
      </c>
      <c r="L892" s="28"/>
      <c r="M892" s="21" t="s">
        <v>1254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1303</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1249</v>
      </c>
      <c r="L893" s="28"/>
      <c r="M893" s="21" t="s">
        <v>1254</v>
      </c>
      <c r="N893" s="48">
        <v>45540</v>
      </c>
      <c r="O893" s="21">
        <f>INDEX(Auxiliar!$D$5:$F$13,MATCH(Table1[[#This Row],[Tipologia_Testes]],Auxiliar!$B$5:$B$13,0),MATCH(Table1[[#This Row],[Complexidade]],Auxiliar!$D$4:$F$4,0))</f>
        <v>0.1</v>
      </c>
      <c r="P893" s="2" t="s">
        <v>1318</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1303</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1257</v>
      </c>
      <c r="L894" s="28"/>
      <c r="M894" s="21" t="s">
        <v>1254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1303</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1249</v>
      </c>
      <c r="L895" s="28"/>
      <c r="M895" s="21" t="s">
        <v>1254</v>
      </c>
      <c r="N895" s="48">
        <v>45540</v>
      </c>
      <c r="O895" s="21">
        <f>INDEX(Auxiliar!$D$5:$F$13,MATCH(Table1[[#This Row],[Tipologia_Testes]],Auxiliar!$B$5:$B$13,0),MATCH(Table1[[#This Row],[Complexidade]],Auxiliar!$D$4:$F$4,0))</f>
        <v>0.1</v>
      </c>
      <c r="P895" s="2" t="s">
        <v>1318</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1303</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1257</v>
      </c>
      <c r="L896" s="28"/>
      <c r="M896" s="21" t="s">
        <v>1254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1303</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1249</v>
      </c>
      <c r="L897" s="28"/>
      <c r="M897" s="21" t="s">
        <v>1254</v>
      </c>
      <c r="N897" s="48">
        <v>45540</v>
      </c>
      <c r="O897" s="21">
        <f>INDEX(Auxiliar!$D$5:$F$13,MATCH(Table1[[#This Row],[Tipologia_Testes]],Auxiliar!$B$5:$B$13,0),MATCH(Table1[[#This Row],[Complexidade]],Auxiliar!$D$4:$F$4,0))</f>
        <v>0.1</v>
      </c>
      <c r="P897" s="2" t="s">
        <v>1318</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1303</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1257</v>
      </c>
      <c r="L898" s="28"/>
      <c r="M898" s="21" t="s">
        <v>1254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1303</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1249</v>
      </c>
      <c r="L899" s="28"/>
      <c r="M899" s="21" t="s">
        <v>1254</v>
      </c>
      <c r="N899" s="48">
        <v>45540</v>
      </c>
      <c r="O899" s="21">
        <f>INDEX(Auxiliar!$D$5:$F$13,MATCH(Table1[[#This Row],[Tipologia_Testes]],Auxiliar!$B$5:$B$13,0),MATCH(Table1[[#This Row],[Complexidade]],Auxiliar!$D$4:$F$4,0))</f>
        <v>0.1</v>
      </c>
      <c r="P899" s="2" t="s">
        <v>1319</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1303</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1257</v>
      </c>
      <c r="L900" s="28"/>
      <c r="M900" s="21" t="s">
        <v>1254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1303</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1249</v>
      </c>
      <c r="L901" s="2" t="s">
        <v>650</v>
      </c>
      <c r="M901" s="21" t="s">
        <v>1254</v>
      </c>
      <c r="N901" s="48">
        <v>45540</v>
      </c>
      <c r="O901" s="21">
        <f>INDEX(Auxiliar!$D$5:$F$13,MATCH(Table1[[#This Row],[Tipologia_Testes]],Auxiliar!$B$5:$B$13,0),MATCH(Table1[[#This Row],[Complexidade]],Auxiliar!$D$4:$F$4,0))</f>
        <v>0.1</v>
      </c>
      <c r="P901" s="2" t="s">
        <v>1320</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1303</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1257</v>
      </c>
      <c r="L902" s="2" t="s">
        <v>650</v>
      </c>
      <c r="M902" s="21" t="s">
        <v>1254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1303</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1249</v>
      </c>
      <c r="L903" s="2" t="s">
        <v>650</v>
      </c>
      <c r="M903" s="21" t="s">
        <v>1254</v>
      </c>
      <c r="N903" s="48">
        <v>45540</v>
      </c>
      <c r="O903" s="21">
        <f>INDEX(Auxiliar!$D$5:$F$13,MATCH(Table1[[#This Row],[Tipologia_Testes]],Auxiliar!$B$5:$B$13,0),MATCH(Table1[[#This Row],[Complexidade]],Auxiliar!$D$4:$F$4,0))</f>
        <v>0.1</v>
      </c>
      <c r="P903" s="2" t="s">
        <v>1320</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1303</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1257</v>
      </c>
      <c r="L904" s="2" t="s">
        <v>650</v>
      </c>
      <c r="M904" s="21" t="s">
        <v>1254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1303</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1249</v>
      </c>
      <c r="L905" s="2" t="s">
        <v>650</v>
      </c>
      <c r="M905" s="21" t="s">
        <v>1254</v>
      </c>
      <c r="N905" s="48">
        <v>45540</v>
      </c>
      <c r="O905" s="21">
        <f>INDEX(Auxiliar!$D$5:$F$13,MATCH(Table1[[#This Row],[Tipologia_Testes]],Auxiliar!$B$5:$B$13,0),MATCH(Table1[[#This Row],[Complexidade]],Auxiliar!$D$4:$F$4,0))</f>
        <v>0.1</v>
      </c>
      <c r="P905" s="2" t="s">
        <v>1320</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1303</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1257</v>
      </c>
      <c r="L906" s="2" t="s">
        <v>650</v>
      </c>
      <c r="M906" s="21" t="s">
        <v>1254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1303</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1249</v>
      </c>
      <c r="L907" s="2" t="s">
        <v>650</v>
      </c>
      <c r="M907" s="21" t="s">
        <v>1254</v>
      </c>
      <c r="N907" s="48">
        <v>45540</v>
      </c>
      <c r="O907" s="21">
        <f>INDEX(Auxiliar!$D$5:$F$13,MATCH(Table1[[#This Row],[Tipologia_Testes]],Auxiliar!$B$5:$B$13,0),MATCH(Table1[[#This Row],[Complexidade]],Auxiliar!$D$4:$F$4,0))</f>
        <v>0.1</v>
      </c>
      <c r="P907" s="2" t="s">
        <v>1320</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1303</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1257</v>
      </c>
      <c r="L908" s="2" t="s">
        <v>650</v>
      </c>
      <c r="M908" s="21" t="s">
        <v>1254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1303</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1249</v>
      </c>
      <c r="L909" s="2" t="s">
        <v>650</v>
      </c>
      <c r="M909" s="21" t="s">
        <v>1254</v>
      </c>
      <c r="N909" s="48">
        <v>45540</v>
      </c>
      <c r="O909" s="21">
        <f>INDEX(Auxiliar!$D$5:$F$13,MATCH(Table1[[#This Row],[Tipologia_Testes]],Auxiliar!$B$5:$B$13,0),MATCH(Table1[[#This Row],[Complexidade]],Auxiliar!$D$4:$F$4,0))</f>
        <v>0.1</v>
      </c>
      <c r="P909" s="2" t="s">
        <v>1320</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1303</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1257</v>
      </c>
      <c r="L910" s="2" t="s">
        <v>650</v>
      </c>
      <c r="M910" s="21" t="s">
        <v>1254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1303</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1249</v>
      </c>
      <c r="L911" s="2" t="s">
        <v>650</v>
      </c>
      <c r="M911" s="21" t="s">
        <v>1254</v>
      </c>
      <c r="N911" s="48">
        <v>45540</v>
      </c>
      <c r="O911" s="21">
        <f>INDEX(Auxiliar!$D$5:$F$13,MATCH(Table1[[#This Row],[Tipologia_Testes]],Auxiliar!$B$5:$B$13,0),MATCH(Table1[[#This Row],[Complexidade]],Auxiliar!$D$4:$F$4,0))</f>
        <v>0.1</v>
      </c>
      <c r="P911" s="2" t="s">
        <v>1320</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1303</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1257</v>
      </c>
      <c r="L912" s="2" t="s">
        <v>650</v>
      </c>
      <c r="M912" s="21" t="s">
        <v>1254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1303</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1249</v>
      </c>
      <c r="L913" s="2" t="s">
        <v>650</v>
      </c>
      <c r="M913" s="21" t="s">
        <v>1254</v>
      </c>
      <c r="N913" s="48">
        <v>45540</v>
      </c>
      <c r="O913" s="21">
        <f>INDEX(Auxiliar!$D$5:$F$13,MATCH(Table1[[#This Row],[Tipologia_Testes]],Auxiliar!$B$5:$B$13,0),MATCH(Table1[[#This Row],[Complexidade]],Auxiliar!$D$4:$F$4,0))</f>
        <v>0.1</v>
      </c>
      <c r="P913" s="2" t="s">
        <v>1320</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1303</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1257</v>
      </c>
      <c r="L914" s="2" t="s">
        <v>650</v>
      </c>
      <c r="M914" s="21" t="s">
        <v>1254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1303</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1249</v>
      </c>
      <c r="L915" s="2" t="s">
        <v>650</v>
      </c>
      <c r="M915" s="21" t="s">
        <v>1254</v>
      </c>
      <c r="N915" s="48">
        <v>45540</v>
      </c>
      <c r="O915" s="21">
        <f>INDEX(Auxiliar!$D$5:$F$13,MATCH(Table1[[#This Row],[Tipologia_Testes]],Auxiliar!$B$5:$B$13,0),MATCH(Table1[[#This Row],[Complexidade]],Auxiliar!$D$4:$F$4,0))</f>
        <v>0.1</v>
      </c>
      <c r="P915" s="2" t="s">
        <v>1320</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1303</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1257</v>
      </c>
      <c r="L916" s="2" t="s">
        <v>650</v>
      </c>
      <c r="M916" s="21" t="s">
        <v>1254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1303</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1249</v>
      </c>
      <c r="L917" s="2" t="s">
        <v>650</v>
      </c>
      <c r="M917" s="21" t="s">
        <v>1254</v>
      </c>
      <c r="N917" s="48">
        <v>45540</v>
      </c>
      <c r="O917" s="21">
        <f>INDEX(Auxiliar!$D$5:$F$13,MATCH(Table1[[#This Row],[Tipologia_Testes]],Auxiliar!$B$5:$B$13,0),MATCH(Table1[[#This Row],[Complexidade]],Auxiliar!$D$4:$F$4,0))</f>
        <v>0.1</v>
      </c>
      <c r="P917" s="2" t="s">
        <v>1320</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1303</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1257</v>
      </c>
      <c r="L918" s="2" t="s">
        <v>650</v>
      </c>
      <c r="M918" s="21" t="s">
        <v>1254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1303</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1249</v>
      </c>
      <c r="L919" s="2" t="s">
        <v>650</v>
      </c>
      <c r="M919" s="21" t="s">
        <v>1254</v>
      </c>
      <c r="N919" s="48">
        <v>45540</v>
      </c>
      <c r="O919" s="21">
        <f>INDEX(Auxiliar!$D$5:$F$13,MATCH(Table1[[#This Row],[Tipologia_Testes]],Auxiliar!$B$5:$B$13,0),MATCH(Table1[[#This Row],[Complexidade]],Auxiliar!$D$4:$F$4,0))</f>
        <v>0.1</v>
      </c>
      <c r="P919" s="2" t="s">
        <v>1320</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1303</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1257</v>
      </c>
      <c r="L920" s="2" t="s">
        <v>650</v>
      </c>
      <c r="M920" s="21" t="s">
        <v>1254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1303</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1249</v>
      </c>
      <c r="L921" s="2" t="s">
        <v>650</v>
      </c>
      <c r="M921" s="21" t="s">
        <v>1254</v>
      </c>
      <c r="N921" s="48">
        <v>45540</v>
      </c>
      <c r="O921" s="21">
        <f>INDEX(Auxiliar!$D$5:$F$13,MATCH(Table1[[#This Row],[Tipologia_Testes]],Auxiliar!$B$5:$B$13,0),MATCH(Table1[[#This Row],[Complexidade]],Auxiliar!$D$4:$F$4,0))</f>
        <v>0.1</v>
      </c>
      <c r="P921" s="2" t="s">
        <v>1320</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1303</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1257</v>
      </c>
      <c r="L922" s="2" t="s">
        <v>650</v>
      </c>
      <c r="M922" s="21" t="s">
        <v>1254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1303</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1249</v>
      </c>
      <c r="L923" s="2" t="s">
        <v>650</v>
      </c>
      <c r="M923" s="21" t="s">
        <v>1254</v>
      </c>
      <c r="N923" s="48">
        <v>45540</v>
      </c>
      <c r="O923" s="21">
        <f>INDEX(Auxiliar!$D$5:$F$13,MATCH(Table1[[#This Row],[Tipologia_Testes]],Auxiliar!$B$5:$B$13,0),MATCH(Table1[[#This Row],[Complexidade]],Auxiliar!$D$4:$F$4,0))</f>
        <v>0.1</v>
      </c>
      <c r="P923" s="2" t="s">
        <v>1320</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1303</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1257</v>
      </c>
      <c r="L924" s="2" t="s">
        <v>650</v>
      </c>
      <c r="M924" s="21" t="s">
        <v>1254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1303</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1249</v>
      </c>
      <c r="L925" s="2" t="s">
        <v>650</v>
      </c>
      <c r="M925" s="21" t="s">
        <v>1254</v>
      </c>
      <c r="N925" s="48">
        <v>45540</v>
      </c>
      <c r="O925" s="21">
        <f>INDEX(Auxiliar!$D$5:$F$13,MATCH(Table1[[#This Row],[Tipologia_Testes]],Auxiliar!$B$5:$B$13,0),MATCH(Table1[[#This Row],[Complexidade]],Auxiliar!$D$4:$F$4,0))</f>
        <v>0.1</v>
      </c>
      <c r="P925" s="2" t="s">
        <v>1320</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1303</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1257</v>
      </c>
      <c r="L926" s="2" t="s">
        <v>650</v>
      </c>
      <c r="M926" s="21" t="s">
        <v>1254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1303</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1249</v>
      </c>
      <c r="L927" s="2" t="s">
        <v>650</v>
      </c>
      <c r="M927" s="21" t="s">
        <v>1254</v>
      </c>
      <c r="N927" s="48">
        <v>45540</v>
      </c>
      <c r="O927" s="21">
        <f>INDEX(Auxiliar!$D$5:$F$13,MATCH(Table1[[#This Row],[Tipologia_Testes]],Auxiliar!$B$5:$B$13,0),MATCH(Table1[[#This Row],[Complexidade]],Auxiliar!$D$4:$F$4,0))</f>
        <v>0.1</v>
      </c>
      <c r="P927" s="2" t="s">
        <v>1320</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1303</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1257</v>
      </c>
      <c r="L928" s="2" t="s">
        <v>650</v>
      </c>
      <c r="M928" s="21" t="s">
        <v>1254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1303</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1249</v>
      </c>
      <c r="L929" s="2" t="s">
        <v>650</v>
      </c>
      <c r="M929" s="21" t="s">
        <v>1254</v>
      </c>
      <c r="N929" s="48">
        <v>45540</v>
      </c>
      <c r="O929" s="21">
        <f>INDEX(Auxiliar!$D$5:$F$13,MATCH(Table1[[#This Row],[Tipologia_Testes]],Auxiliar!$B$5:$B$13,0),MATCH(Table1[[#This Row],[Complexidade]],Auxiliar!$D$4:$F$4,0))</f>
        <v>0.1</v>
      </c>
      <c r="P929" s="2" t="s">
        <v>1320</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1303</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1257</v>
      </c>
      <c r="L930" s="2" t="s">
        <v>650</v>
      </c>
      <c r="M930" s="21" t="s">
        <v>1254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1303</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1249</v>
      </c>
      <c r="L931" s="2" t="s">
        <v>650</v>
      </c>
      <c r="M931" s="21" t="s">
        <v>1254</v>
      </c>
      <c r="N931" s="48">
        <v>45540</v>
      </c>
      <c r="O931" s="21">
        <f>INDEX(Auxiliar!$D$5:$F$13,MATCH(Table1[[#This Row],[Tipologia_Testes]],Auxiliar!$B$5:$B$13,0),MATCH(Table1[[#This Row],[Complexidade]],Auxiliar!$D$4:$F$4,0))</f>
        <v>0.1</v>
      </c>
      <c r="P931" s="2" t="s">
        <v>1320</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1303</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1257</v>
      </c>
      <c r="L932" s="2" t="s">
        <v>650</v>
      </c>
      <c r="M932" s="21" t="s">
        <v>1254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1303</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1249</v>
      </c>
      <c r="L933" s="2" t="s">
        <v>650</v>
      </c>
      <c r="M933" s="21" t="s">
        <v>1254</v>
      </c>
      <c r="N933" s="48">
        <v>45540</v>
      </c>
      <c r="O933" s="21">
        <f>INDEX(Auxiliar!$D$5:$F$13,MATCH(Table1[[#This Row],[Tipologia_Testes]],Auxiliar!$B$5:$B$13,0),MATCH(Table1[[#This Row],[Complexidade]],Auxiliar!$D$4:$F$4,0))</f>
        <v>0.1</v>
      </c>
      <c r="P933" s="2" t="s">
        <v>1320</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1303</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1257</v>
      </c>
      <c r="L934" s="2" t="s">
        <v>650</v>
      </c>
      <c r="M934" s="21" t="s">
        <v>1254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1303</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1249</v>
      </c>
      <c r="L935" s="2" t="s">
        <v>650</v>
      </c>
      <c r="M935" s="21" t="s">
        <v>1254</v>
      </c>
      <c r="N935" s="48">
        <v>45540</v>
      </c>
      <c r="O935" s="21">
        <f>INDEX(Auxiliar!$D$5:$F$13,MATCH(Table1[[#This Row],[Tipologia_Testes]],Auxiliar!$B$5:$B$13,0),MATCH(Table1[[#This Row],[Complexidade]],Auxiliar!$D$4:$F$4,0))</f>
        <v>0.1</v>
      </c>
      <c r="P935" s="2" t="s">
        <v>1320</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1303</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1257</v>
      </c>
      <c r="L936" s="2" t="s">
        <v>650</v>
      </c>
      <c r="M936" s="21" t="s">
        <v>1254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1303</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1249</v>
      </c>
      <c r="L937" s="2" t="s">
        <v>650</v>
      </c>
      <c r="M937" s="21" t="s">
        <v>1254</v>
      </c>
      <c r="N937" s="48">
        <v>45540</v>
      </c>
      <c r="O937" s="21">
        <f>INDEX(Auxiliar!$D$5:$F$13,MATCH(Table1[[#This Row],[Tipologia_Testes]],Auxiliar!$B$5:$B$13,0),MATCH(Table1[[#This Row],[Complexidade]],Auxiliar!$D$4:$F$4,0))</f>
        <v>0.1</v>
      </c>
      <c r="P937" s="2" t="s">
        <v>1320</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1303</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1257</v>
      </c>
      <c r="L938" s="2" t="s">
        <v>650</v>
      </c>
      <c r="M938" s="21" t="s">
        <v>1254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1303</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1249</v>
      </c>
      <c r="L939" s="2" t="s">
        <v>650</v>
      </c>
      <c r="M939" s="21" t="s">
        <v>1254</v>
      </c>
      <c r="N939" s="48">
        <v>45540</v>
      </c>
      <c r="O939" s="21">
        <f>INDEX(Auxiliar!$D$5:$F$13,MATCH(Table1[[#This Row],[Tipologia_Testes]],Auxiliar!$B$5:$B$13,0),MATCH(Table1[[#This Row],[Complexidade]],Auxiliar!$D$4:$F$4,0))</f>
        <v>0.1</v>
      </c>
      <c r="P939" s="2" t="s">
        <v>1320</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1303</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1257</v>
      </c>
      <c r="L940" s="2" t="s">
        <v>650</v>
      </c>
      <c r="M940" s="21" t="s">
        <v>1254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1304</v>
      </c>
      <c r="E941" s="2" t="s">
        <v>38</v>
      </c>
      <c r="F941" s="13" t="s">
        <v>217</v>
      </c>
      <c r="G941" s="13" t="s">
        <v>208</v>
      </c>
      <c r="H941" s="58" t="str">
        <f>Table1[[#This Row],[Tabela]]&amp;Table1[[#This Row],[Campo]]</f>
        <v>modesg_inp_risco_fisicoref_date</v>
      </c>
      <c r="I941" s="3" t="s">
        <v>613</v>
      </c>
      <c r="J941" s="54">
        <f>VLOOKUP(Table1[[#This Row],[Status]],Auxiliar!$B$16:$C$24,2,0)</f>
        <v>1</v>
      </c>
      <c r="K941" s="21" t="s">
        <v>1257</v>
      </c>
      <c r="L941" s="2" t="s">
        <v>650</v>
      </c>
      <c r="M941" s="21" t="s">
        <v>1254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1315</v>
      </c>
    </row>
    <row r="942" spans="2:24" ht="17.7" hidden="1" customHeight="1">
      <c r="B942" s="13" t="s">
        <v>26</v>
      </c>
      <c r="C942" s="13" t="s">
        <v>181</v>
      </c>
      <c r="D942" s="13" t="s">
        <v>1304</v>
      </c>
      <c r="E942" s="2" t="s">
        <v>38</v>
      </c>
      <c r="F942" s="13" t="s">
        <v>217</v>
      </c>
      <c r="G942" s="13" t="s">
        <v>280</v>
      </c>
      <c r="H942" s="58" t="str">
        <f>Table1[[#This Row],[Tabela]]&amp;Table1[[#This Row],[Campo]]</f>
        <v>modesg_inp_risco_fisicocod_pais</v>
      </c>
      <c r="I942" s="3" t="s">
        <v>613</v>
      </c>
      <c r="J942" s="54">
        <f>VLOOKUP(Table1[[#This Row],[Status]],Auxiliar!$B$16:$C$24,2,0)</f>
        <v>1</v>
      </c>
      <c r="K942" s="21" t="s">
        <v>1249</v>
      </c>
      <c r="L942" s="2" t="s">
        <v>1252</v>
      </c>
      <c r="M942" s="21" t="s">
        <v>1254</v>
      </c>
      <c r="N942" s="48">
        <v>45485</v>
      </c>
      <c r="O942" s="21">
        <f>INDEX(Auxiliar!$D$5:$F$13,MATCH(Table1[[#This Row],[Tipologia_Testes]],Auxiliar!$B$5:$B$13,0),MATCH(Table1[[#This Row],[Complexidade]],Auxiliar!$D$4:$F$4,0))</f>
        <v>0.1</v>
      </c>
      <c r="P942" s="2" t="s">
        <v>1321</v>
      </c>
      <c r="Q942" s="2"/>
      <c r="R942" s="152">
        <v>45261</v>
      </c>
      <c r="S942" s="152"/>
      <c r="T942" s="152"/>
      <c r="U942" s="152">
        <v>45603</v>
      </c>
      <c r="V942" s="152"/>
      <c r="W942" s="2">
        <f>VLOOKUP(Table1[[#This Row],[Status]],Auxiliar!$B$16:$D$24,3,0)*Table1[[#This Row],[Estimação (horas)]]</f>
        <v>0.1</v>
      </c>
      <c r="X942" s="2" t="s">
        <v>1315</v>
      </c>
    </row>
    <row r="943" spans="2:24" ht="17.7" hidden="1" customHeight="1">
      <c r="B943" s="13" t="s">
        <v>26</v>
      </c>
      <c r="C943" s="13" t="s">
        <v>181</v>
      </c>
      <c r="D943" s="13" t="s">
        <v>1304</v>
      </c>
      <c r="E943" s="2" t="s">
        <v>38</v>
      </c>
      <c r="F943" s="13" t="s">
        <v>217</v>
      </c>
      <c r="G943" s="13" t="s">
        <v>280</v>
      </c>
      <c r="H943" s="58" t="str">
        <f>Table1[[#This Row],[Tabela]]&amp;Table1[[#This Row],[Campo]]</f>
        <v>modesg_inp_risco_fisicocod_pais</v>
      </c>
      <c r="I943" s="3" t="s">
        <v>613</v>
      </c>
      <c r="J943" s="54">
        <f>VLOOKUP(Table1[[#This Row],[Status]],Auxiliar!$B$16:$C$24,2,0)</f>
        <v>1</v>
      </c>
      <c r="K943" s="21" t="s">
        <v>1257</v>
      </c>
      <c r="L943" s="2" t="s">
        <v>1252</v>
      </c>
      <c r="M943" s="21" t="s">
        <v>1254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1315</v>
      </c>
    </row>
    <row r="944" spans="2:24" ht="17.7" hidden="1" customHeight="1">
      <c r="B944" s="13" t="s">
        <v>26</v>
      </c>
      <c r="C944" s="13" t="s">
        <v>181</v>
      </c>
      <c r="D944" s="13" t="s">
        <v>1304</v>
      </c>
      <c r="E944" s="2" t="s">
        <v>38</v>
      </c>
      <c r="F944" s="13" t="s">
        <v>217</v>
      </c>
      <c r="G944" s="13" t="s">
        <v>281</v>
      </c>
      <c r="H944" s="58" t="str">
        <f>Table1[[#This Row],[Tabela]]&amp;Table1[[#This Row],[Campo]]</f>
        <v>modesg_inp_risco_fisicocod_nutiii</v>
      </c>
      <c r="I944" s="3" t="s">
        <v>613</v>
      </c>
      <c r="J944" s="54">
        <f>VLOOKUP(Table1[[#This Row],[Status]],Auxiliar!$B$16:$C$24,2,0)</f>
        <v>1</v>
      </c>
      <c r="K944" s="21" t="s">
        <v>1257</v>
      </c>
      <c r="L944" s="2" t="s">
        <v>1252</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282</v>
      </c>
      <c r="H945" s="58" t="str">
        <f>Table1[[#This Row],[Tabela]]&amp;Table1[[#This Row],[Campo]]</f>
        <v>modesg_inp_risco_fisicocod_nace_esg</v>
      </c>
      <c r="I945" s="3" t="s">
        <v>613</v>
      </c>
      <c r="J945" s="54">
        <f>VLOOKUP(Table1[[#This Row],[Status]],Auxiliar!$B$16:$C$24,2,0)</f>
        <v>1</v>
      </c>
      <c r="K945" s="21" t="s">
        <v>1249</v>
      </c>
      <c r="L945" s="2" t="s">
        <v>1252</v>
      </c>
      <c r="M945" s="21" t="s">
        <v>1254</v>
      </c>
      <c r="N945" s="48">
        <v>45569</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282</v>
      </c>
      <c r="H946" s="58" t="str">
        <f>Table1[[#This Row],[Tabela]]&amp;Table1[[#This Row],[Campo]]</f>
        <v>modesg_inp_risco_fisicocod_nace_esg</v>
      </c>
      <c r="I946" s="3" t="s">
        <v>613</v>
      </c>
      <c r="J946" s="54">
        <f>VLOOKUP(Table1[[#This Row],[Status]],Auxiliar!$B$16:$C$24,2,0)</f>
        <v>1</v>
      </c>
      <c r="K946" s="21" t="s">
        <v>1257</v>
      </c>
      <c r="L946" s="2" t="s">
        <v>1252</v>
      </c>
      <c r="M946" s="21" t="s">
        <v>1254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1249</v>
      </c>
      <c r="L947" s="2" t="s">
        <v>1252</v>
      </c>
      <c r="M947" s="21" t="s">
        <v>1254</v>
      </c>
      <c r="N947" s="48">
        <v>45485</v>
      </c>
      <c r="O947" s="21">
        <f>INDEX(Auxiliar!$D$5:$F$13,MATCH(Table1[[#This Row],[Tipologia_Testes]],Auxiliar!$B$5:$B$13,0),MATCH(Table1[[#This Row],[Complexidade]],Auxiliar!$D$4:$F$4,0))</f>
        <v>0.1</v>
      </c>
      <c r="P947" s="2" t="s">
        <v>1322</v>
      </c>
      <c r="Q947" s="2"/>
      <c r="R947" s="152">
        <v>45261</v>
      </c>
      <c r="S947" s="152"/>
      <c r="T947" s="152"/>
      <c r="U947" s="152">
        <v>45603</v>
      </c>
      <c r="V947" s="152"/>
      <c r="W947" s="2">
        <f>VLOOKUP(Table1[[#This Row],[Status]],Auxiliar!$B$16:$D$24,3,0)*Table1[[#This Row],[Estimação (horas)]]</f>
        <v>0.1</v>
      </c>
      <c r="X947" s="2" t="s">
        <v>1315</v>
      </c>
    </row>
    <row r="948" spans="2:24" ht="17.7" hidden="1" customHeight="1">
      <c r="B948" s="13" t="s">
        <v>26</v>
      </c>
      <c r="C948" s="13" t="s">
        <v>181</v>
      </c>
      <c r="D948" s="13" t="s">
        <v>1304</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1257</v>
      </c>
      <c r="L948" s="2" t="s">
        <v>1252</v>
      </c>
      <c r="M948" s="21" t="s">
        <v>1254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1315</v>
      </c>
    </row>
    <row r="949" spans="2:24" ht="17.7" hidden="1" customHeight="1">
      <c r="B949" s="13" t="s">
        <v>26</v>
      </c>
      <c r="C949" s="13" t="s">
        <v>181</v>
      </c>
      <c r="D949" s="13" t="s">
        <v>1304</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1249</v>
      </c>
      <c r="L949" s="2" t="s">
        <v>1252</v>
      </c>
      <c r="M949" s="21" t="s">
        <v>1254</v>
      </c>
      <c r="N949" s="48">
        <v>45485</v>
      </c>
      <c r="O949" s="21">
        <f>INDEX(Auxiliar!$D$5:$F$13,MATCH(Table1[[#This Row],[Tipologia_Testes]],Auxiliar!$B$5:$B$13,0),MATCH(Table1[[#This Row],[Complexidade]],Auxiliar!$D$4:$F$4,0))</f>
        <v>0.1</v>
      </c>
      <c r="P949" s="2" t="s">
        <v>1322</v>
      </c>
      <c r="Q949" s="2"/>
      <c r="R949" s="152">
        <v>45261</v>
      </c>
      <c r="S949" s="152"/>
      <c r="T949" s="152"/>
      <c r="U949" s="152">
        <v>45603</v>
      </c>
      <c r="V949" s="152"/>
      <c r="W949" s="2">
        <f>VLOOKUP(Table1[[#This Row],[Status]],Auxiliar!$B$16:$D$24,3,0)*Table1[[#This Row],[Estimação (horas)]]</f>
        <v>0.1</v>
      </c>
      <c r="X949" s="2" t="s">
        <v>1315</v>
      </c>
    </row>
    <row r="950" spans="2:24" ht="17.7" hidden="1" customHeight="1">
      <c r="B950" s="13" t="s">
        <v>26</v>
      </c>
      <c r="C950" s="13" t="s">
        <v>181</v>
      </c>
      <c r="D950" s="13" t="s">
        <v>1304</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1257</v>
      </c>
      <c r="L950" s="2" t="s">
        <v>1252</v>
      </c>
      <c r="M950" s="21" t="s">
        <v>1254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1315</v>
      </c>
    </row>
    <row r="951" spans="2:24" ht="17.7" hidden="1" customHeight="1">
      <c r="B951" s="13" t="s">
        <v>26</v>
      </c>
      <c r="C951" s="13" t="s">
        <v>181</v>
      </c>
      <c r="D951" s="13" t="s">
        <v>1296</v>
      </c>
      <c r="E951" s="2" t="s">
        <v>38</v>
      </c>
      <c r="F951" s="13" t="s">
        <v>218</v>
      </c>
      <c r="G951" s="13" t="s">
        <v>208</v>
      </c>
      <c r="H951" s="58" t="str">
        <f>Table1[[#This Row],[Tabela]]&amp;Table1[[#This Row],[Campo]]</f>
        <v>modesg_inp_emss_scibref_date</v>
      </c>
      <c r="I951" s="2" t="s">
        <v>613</v>
      </c>
      <c r="J951" s="46">
        <f>VLOOKUP(Table1[[#This Row],[Status]],Auxiliar!$B$16:$C$24,2,0)</f>
        <v>1</v>
      </c>
      <c r="K951" s="21" t="s">
        <v>1257</v>
      </c>
      <c r="L951" s="2" t="s">
        <v>1252</v>
      </c>
      <c r="M951" s="21" t="s">
        <v>1254</v>
      </c>
      <c r="N951" s="48">
        <v>45490</v>
      </c>
      <c r="O951" s="21">
        <f>INDEX(Auxiliar!$D$5:$F$13,MATCH(Table1[[#This Row],[Tipologia_Testes]],Auxiliar!$B$5:$B$13,0),MATCH(Table1[[#This Row],[Complexidade]],Auxiliar!$D$4:$F$4,0))</f>
        <v>0.5</v>
      </c>
      <c r="P951" s="2"/>
      <c r="Q951" s="2" t="s">
        <v>1299</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1296</v>
      </c>
      <c r="E952" s="2" t="s">
        <v>38</v>
      </c>
      <c r="F952" s="13" t="s">
        <v>218</v>
      </c>
      <c r="G952" s="13" t="s">
        <v>241</v>
      </c>
      <c r="H952" s="58" t="str">
        <f>Table1[[#This Row],[Tabela]]&amp;Table1[[#This Row],[Campo]]</f>
        <v>modesg_inp_emss_scibccli_kgl</v>
      </c>
      <c r="I952" s="2" t="s">
        <v>613</v>
      </c>
      <c r="J952" s="46">
        <f>VLOOKUP(Table1[[#This Row],[Status]],Auxiliar!$B$16:$C$24,2,0)</f>
        <v>1</v>
      </c>
      <c r="K952" s="21" t="s">
        <v>1249</v>
      </c>
      <c r="L952" s="2" t="s">
        <v>1252</v>
      </c>
      <c r="M952" s="21" t="s">
        <v>1254</v>
      </c>
      <c r="N952" s="48">
        <v>45490</v>
      </c>
      <c r="O952" s="21">
        <f>INDEX(Auxiliar!$D$5:$F$13,MATCH(Table1[[#This Row],[Tipologia_Testes]],Auxiliar!$B$5:$B$13,0),MATCH(Table1[[#This Row],[Complexidade]],Auxiliar!$D$4:$F$4,0))</f>
        <v>0.1</v>
      </c>
      <c r="P952" s="2" t="s">
        <v>1316</v>
      </c>
      <c r="Q952" s="2" t="s">
        <v>1299</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1296</v>
      </c>
      <c r="E953" s="2" t="s">
        <v>38</v>
      </c>
      <c r="F953" s="13" t="s">
        <v>218</v>
      </c>
      <c r="G953" s="13" t="s">
        <v>241</v>
      </c>
      <c r="H953" s="58" t="str">
        <f>Table1[[#This Row],[Tabela]]&amp;Table1[[#This Row],[Campo]]</f>
        <v>modesg_inp_emss_scibccli_kgl</v>
      </c>
      <c r="I953" s="2" t="s">
        <v>613</v>
      </c>
      <c r="J953" s="46">
        <f>VLOOKUP(Table1[[#This Row],[Status]],Auxiliar!$B$16:$C$24,2,0)</f>
        <v>1</v>
      </c>
      <c r="K953" s="21" t="s">
        <v>1257</v>
      </c>
      <c r="L953" s="2" t="s">
        <v>1252</v>
      </c>
      <c r="M953" s="21" t="s">
        <v>1254</v>
      </c>
      <c r="N953" s="48">
        <v>45490</v>
      </c>
      <c r="O953" s="21">
        <f>INDEX(Auxiliar!$D$5:$F$13,MATCH(Table1[[#This Row],[Tipologia_Testes]],Auxiliar!$B$5:$B$13,0),MATCH(Table1[[#This Row],[Complexidade]],Auxiliar!$D$4:$F$4,0))</f>
        <v>0.5</v>
      </c>
      <c r="P953" s="2"/>
      <c r="Q953" s="2" t="s">
        <v>1299</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1296</v>
      </c>
      <c r="E954" s="2" t="s">
        <v>38</v>
      </c>
      <c r="F954" s="13" t="s">
        <v>218</v>
      </c>
      <c r="G954" s="13" t="s">
        <v>285</v>
      </c>
      <c r="H954" s="58" t="str">
        <f>Table1[[#This Row],[Tabela]]&amp;Table1[[#This Row],[Campo]]</f>
        <v>modesg_inp_emss_scibnome_grupo</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239</v>
      </c>
      <c r="H955" s="58" t="str">
        <f>Table1[[#This Row],[Tabela]]&amp;Table1[[#This Row],[Campo]]</f>
        <v>modesg_inp_emss_scibisin</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239</v>
      </c>
      <c r="H956" s="58" t="str">
        <f>Table1[[#This Row],[Tabela]]&amp;Table1[[#This Row],[Campo]]</f>
        <v>modesg_inp_emss_scibisin</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240</v>
      </c>
      <c r="H957" s="58" t="str">
        <f>Table1[[#This Row],[Tabela]]&amp;Table1[[#This Row],[Campo]]</f>
        <v>modesg_inp_emss_scibclei</v>
      </c>
      <c r="I957" s="2" t="s">
        <v>613</v>
      </c>
      <c r="J957" s="46">
        <f>VLOOKUP(Table1[[#This Row],[Status]],Auxiliar!$B$16:$C$24,2,0)</f>
        <v>1</v>
      </c>
      <c r="K957" s="21" t="s">
        <v>1249</v>
      </c>
      <c r="L957" s="2" t="s">
        <v>1252</v>
      </c>
      <c r="M957" s="21" t="s">
        <v>1254</v>
      </c>
      <c r="N957" s="48">
        <v>45490</v>
      </c>
      <c r="O957" s="21">
        <f>INDEX(Auxiliar!$D$5:$F$13,MATCH(Table1[[#This Row],[Tipologia_Testes]],Auxiliar!$B$5:$B$13,0),MATCH(Table1[[#This Row],[Complexidade]],Auxiliar!$D$4:$F$4,0))</f>
        <v>0.1</v>
      </c>
      <c r="P957" s="2" t="s">
        <v>1316</v>
      </c>
      <c r="Q957" s="2" t="s">
        <v>1299</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1296</v>
      </c>
      <c r="E958" s="2" t="s">
        <v>38</v>
      </c>
      <c r="F958" s="13" t="s">
        <v>218</v>
      </c>
      <c r="G958" s="13" t="s">
        <v>240</v>
      </c>
      <c r="H958" s="58" t="str">
        <f>Table1[[#This Row],[Tabela]]&amp;Table1[[#This Row],[Campo]]</f>
        <v>modesg_inp_emss_scibclei</v>
      </c>
      <c r="I958" s="2" t="s">
        <v>613</v>
      </c>
      <c r="J958" s="46">
        <f>VLOOKUP(Table1[[#This Row],[Status]],Auxiliar!$B$16:$C$24,2,0)</f>
        <v>1</v>
      </c>
      <c r="K958" s="21" t="s">
        <v>1257</v>
      </c>
      <c r="L958" s="2" t="s">
        <v>1252</v>
      </c>
      <c r="M958" s="21" t="s">
        <v>1254</v>
      </c>
      <c r="N958" s="48">
        <v>45490</v>
      </c>
      <c r="O958" s="21">
        <f>INDEX(Auxiliar!$D$5:$F$13,MATCH(Table1[[#This Row],[Tipologia_Testes]],Auxiliar!$B$5:$B$13,0),MATCH(Table1[[#This Row],[Complexidade]],Auxiliar!$D$4:$F$4,0))</f>
        <v>0.5</v>
      </c>
      <c r="P958" s="2"/>
      <c r="Q958" s="2" t="s">
        <v>1299</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1296</v>
      </c>
      <c r="E959" s="2" t="s">
        <v>38</v>
      </c>
      <c r="F959" s="13" t="s">
        <v>218</v>
      </c>
      <c r="G959" s="13" t="s">
        <v>286</v>
      </c>
      <c r="H959" s="58" t="str">
        <f>Table1[[#This Row],[Tabela]]&amp;Table1[[#This Row],[Campo]]</f>
        <v>modesg_inp_emss_scibscp1_emss</v>
      </c>
      <c r="I959" s="2" t="s">
        <v>613</v>
      </c>
      <c r="J959" s="46">
        <f>VLOOKUP(Table1[[#This Row],[Status]],Auxiliar!$B$16:$C$24,2,0)</f>
        <v>1</v>
      </c>
      <c r="K959" s="21" t="s">
        <v>1249</v>
      </c>
      <c r="L959" s="2" t="s">
        <v>1252</v>
      </c>
      <c r="M959" s="21" t="s">
        <v>1254</v>
      </c>
      <c r="N959" s="48">
        <v>45499</v>
      </c>
      <c r="O959" s="21">
        <f>INDEX(Auxiliar!$D$5:$F$13,MATCH(Table1[[#This Row],[Tipologia_Testes]],Auxiliar!$B$5:$B$13,0),MATCH(Table1[[#This Row],[Complexidade]],Auxiliar!$D$4:$F$4,0))</f>
        <v>0.1</v>
      </c>
      <c r="P959" s="2" t="s">
        <v>1323</v>
      </c>
      <c r="Q959" s="2" t="s">
        <v>1299</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1296</v>
      </c>
      <c r="E960" s="2" t="s">
        <v>38</v>
      </c>
      <c r="F960" s="13" t="s">
        <v>218</v>
      </c>
      <c r="G960" s="13" t="s">
        <v>286</v>
      </c>
      <c r="H960" s="58" t="str">
        <f>Table1[[#This Row],[Tabela]]&amp;Table1[[#This Row],[Campo]]</f>
        <v>modesg_inp_emss_scibscp1_emss</v>
      </c>
      <c r="I960" s="2" t="s">
        <v>613</v>
      </c>
      <c r="J960" s="46">
        <f>VLOOKUP(Table1[[#This Row],[Status]],Auxiliar!$B$16:$C$24,2,0)</f>
        <v>1</v>
      </c>
      <c r="K960" s="21" t="s">
        <v>1257</v>
      </c>
      <c r="L960" s="2" t="s">
        <v>1252</v>
      </c>
      <c r="M960" s="21" t="s">
        <v>1254</v>
      </c>
      <c r="N960" s="48">
        <v>45490</v>
      </c>
      <c r="O960" s="21">
        <f>INDEX(Auxiliar!$D$5:$F$13,MATCH(Table1[[#This Row],[Tipologia_Testes]],Auxiliar!$B$5:$B$13,0),MATCH(Table1[[#This Row],[Complexidade]],Auxiliar!$D$4:$F$4,0))</f>
        <v>0.5</v>
      </c>
      <c r="P960" s="2"/>
      <c r="Q960" s="2" t="s">
        <v>1299</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1296</v>
      </c>
      <c r="E961" s="2" t="s">
        <v>38</v>
      </c>
      <c r="F961" s="13" t="s">
        <v>218</v>
      </c>
      <c r="G961" s="13" t="s">
        <v>287</v>
      </c>
      <c r="H961" s="58" t="str">
        <f>Table1[[#This Row],[Tabela]]&amp;Table1[[#This Row],[Campo]]</f>
        <v>modesg_inp_emss_scibscp2_emss</v>
      </c>
      <c r="I961" s="2" t="s">
        <v>613</v>
      </c>
      <c r="J961" s="46">
        <f>VLOOKUP(Table1[[#This Row],[Status]],Auxiliar!$B$16:$C$24,2,0)</f>
        <v>1</v>
      </c>
      <c r="K961" s="21" t="s">
        <v>1249</v>
      </c>
      <c r="L961" s="2" t="s">
        <v>1252</v>
      </c>
      <c r="M961" s="21" t="s">
        <v>1254</v>
      </c>
      <c r="N961" s="48">
        <v>45499</v>
      </c>
      <c r="O961" s="21">
        <f>INDEX(Auxiliar!$D$5:$F$13,MATCH(Table1[[#This Row],[Tipologia_Testes]],Auxiliar!$B$5:$B$13,0),MATCH(Table1[[#This Row],[Complexidade]],Auxiliar!$D$4:$F$4,0))</f>
        <v>0.1</v>
      </c>
      <c r="P961" s="2" t="s">
        <v>1323</v>
      </c>
      <c r="Q961" s="2" t="s">
        <v>1299</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1296</v>
      </c>
      <c r="E962" s="2" t="s">
        <v>38</v>
      </c>
      <c r="F962" s="13" t="s">
        <v>218</v>
      </c>
      <c r="G962" s="13" t="s">
        <v>287</v>
      </c>
      <c r="H962" s="58" t="str">
        <f>Table1[[#This Row],[Tabela]]&amp;Table1[[#This Row],[Campo]]</f>
        <v>modesg_inp_emss_scibscp2_emss</v>
      </c>
      <c r="I962" s="2" t="s">
        <v>613</v>
      </c>
      <c r="J962" s="46">
        <f>VLOOKUP(Table1[[#This Row],[Status]],Auxiliar!$B$16:$C$24,2,0)</f>
        <v>1</v>
      </c>
      <c r="K962" s="21" t="s">
        <v>1257</v>
      </c>
      <c r="L962" s="2" t="s">
        <v>1252</v>
      </c>
      <c r="M962" s="21" t="s">
        <v>1254</v>
      </c>
      <c r="N962" s="48">
        <v>45490</v>
      </c>
      <c r="O962" s="21">
        <f>INDEX(Auxiliar!$D$5:$F$13,MATCH(Table1[[#This Row],[Tipologia_Testes]],Auxiliar!$B$5:$B$13,0),MATCH(Table1[[#This Row],[Complexidade]],Auxiliar!$D$4:$F$4,0))</f>
        <v>0.5</v>
      </c>
      <c r="P962" s="2"/>
      <c r="Q962" s="2" t="s">
        <v>1299</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1296</v>
      </c>
      <c r="E963" s="2" t="s">
        <v>38</v>
      </c>
      <c r="F963" s="13" t="s">
        <v>218</v>
      </c>
      <c r="G963" s="13" t="s">
        <v>288</v>
      </c>
      <c r="H963" s="58" t="str">
        <f>Table1[[#This Row],[Tabela]]&amp;Table1[[#This Row],[Campo]]</f>
        <v>modesg_inp_emss_scibscp3_emss</v>
      </c>
      <c r="I963" s="2" t="s">
        <v>613</v>
      </c>
      <c r="J963" s="46">
        <f>VLOOKUP(Table1[[#This Row],[Status]],Auxiliar!$B$16:$C$24,2,0)</f>
        <v>1</v>
      </c>
      <c r="K963" s="21" t="s">
        <v>1249</v>
      </c>
      <c r="L963" s="2" t="s">
        <v>1252</v>
      </c>
      <c r="M963" s="21" t="s">
        <v>1254</v>
      </c>
      <c r="N963" s="48">
        <v>45490</v>
      </c>
      <c r="O963" s="21">
        <f>INDEX(Auxiliar!$D$5:$F$13,MATCH(Table1[[#This Row],[Tipologia_Testes]],Auxiliar!$B$5:$B$13,0),MATCH(Table1[[#This Row],[Complexidade]],Auxiliar!$D$4:$F$4,0))</f>
        <v>0.1</v>
      </c>
      <c r="P963" s="2" t="s">
        <v>1323</v>
      </c>
      <c r="Q963" s="2" t="s">
        <v>1299</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1296</v>
      </c>
      <c r="E964" s="2" t="s">
        <v>38</v>
      </c>
      <c r="F964" s="13" t="s">
        <v>218</v>
      </c>
      <c r="G964" s="13" t="s">
        <v>288</v>
      </c>
      <c r="H964" s="58" t="str">
        <f>Table1[[#This Row],[Tabela]]&amp;Table1[[#This Row],[Campo]]</f>
        <v>modesg_inp_emss_scibscp3_emss</v>
      </c>
      <c r="I964" s="2" t="s">
        <v>613</v>
      </c>
      <c r="J964" s="46">
        <f>VLOOKUP(Table1[[#This Row],[Status]],Auxiliar!$B$16:$C$24,2,0)</f>
        <v>1</v>
      </c>
      <c r="K964" s="21" t="s">
        <v>1257</v>
      </c>
      <c r="L964" s="2" t="s">
        <v>1252</v>
      </c>
      <c r="M964" s="21" t="s">
        <v>1254</v>
      </c>
      <c r="N964" s="48">
        <v>45490</v>
      </c>
      <c r="O964" s="21">
        <f>INDEX(Auxiliar!$D$5:$F$13,MATCH(Table1[[#This Row],[Tipologia_Testes]],Auxiliar!$B$5:$B$13,0),MATCH(Table1[[#This Row],[Complexidade]],Auxiliar!$D$4:$F$4,0))</f>
        <v>0.5</v>
      </c>
      <c r="P964" s="2"/>
      <c r="Q964" s="2" t="s">
        <v>1299</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1296</v>
      </c>
      <c r="E965" s="2" t="s">
        <v>38</v>
      </c>
      <c r="F965" s="13" t="s">
        <v>218</v>
      </c>
      <c r="G965" s="13" t="s">
        <v>289</v>
      </c>
      <c r="H965" s="58" t="str">
        <f>Table1[[#This Row],[Tabela]]&amp;Table1[[#This Row],[Campo]]</f>
        <v>modesg_inp_emss_scibscore_scp1</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290</v>
      </c>
      <c r="H966" s="58" t="str">
        <f>Table1[[#This Row],[Tabela]]&amp;Table1[[#This Row],[Campo]]</f>
        <v>modesg_inp_emss_scibscore_scp2</v>
      </c>
      <c r="I966" s="2" t="s">
        <v>613</v>
      </c>
      <c r="J966" s="46">
        <f>VLOOKUP(Table1[[#This Row],[Status]],Auxiliar!$B$16:$C$24,2,0)</f>
        <v>1</v>
      </c>
      <c r="K966" s="21" t="s">
        <v>1257</v>
      </c>
      <c r="L966" s="2" t="s">
        <v>1252</v>
      </c>
      <c r="M966" s="21" t="s">
        <v>1254</v>
      </c>
      <c r="N966" s="48">
        <v>45490</v>
      </c>
      <c r="O966" s="21">
        <f>INDEX(Auxiliar!$D$5:$F$13,MATCH(Table1[[#This Row],[Tipologia_Testes]],Auxiliar!$B$5:$B$13,0),MATCH(Table1[[#This Row],[Complexidade]],Auxiliar!$D$4:$F$4,0))</f>
        <v>0.5</v>
      </c>
      <c r="P966" s="2"/>
      <c r="Q966" s="2" t="s">
        <v>1299</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1296</v>
      </c>
      <c r="E967" s="2" t="s">
        <v>38</v>
      </c>
      <c r="F967" s="13" t="s">
        <v>218</v>
      </c>
      <c r="G967" s="13" t="s">
        <v>291</v>
      </c>
      <c r="H967" s="58" t="str">
        <f>Table1[[#This Row],[Tabela]]&amp;Table1[[#This Row],[Campo]]</f>
        <v>modesg_inp_emss_scibscore_scp3</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292</v>
      </c>
      <c r="H968" s="58" t="str">
        <f>Table1[[#This Row],[Tabela]]&amp;Table1[[#This Row],[Campo]]</f>
        <v>modesg_inp_emss_sciborigem_scp1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293</v>
      </c>
      <c r="H969" s="58" t="str">
        <f>Table1[[#This Row],[Tabela]]&amp;Table1[[#This Row],[Campo]]</f>
        <v>modesg_inp_emss_sciborigem_scp2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294</v>
      </c>
      <c r="H970" s="58" t="str">
        <f>Table1[[#This Row],[Tabela]]&amp;Table1[[#This Row],[Campo]]</f>
        <v>modesg_inp_emss_sciborigem_scp3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295</v>
      </c>
      <c r="H971" s="58" t="str">
        <f>Table1[[#This Row],[Tabela]]&amp;Table1[[#This Row],[Campo]]</f>
        <v>modesg_inp_emss_scibano_info</v>
      </c>
      <c r="I971" s="2" t="s">
        <v>613</v>
      </c>
      <c r="J971" s="46">
        <f>VLOOKUP(Table1[[#This Row],[Status]],Auxiliar!$B$16:$C$24,2,0)</f>
        <v>1</v>
      </c>
      <c r="K971" s="21" t="s">
        <v>1257</v>
      </c>
      <c r="L971" s="2" t="s">
        <v>1244</v>
      </c>
      <c r="M971" s="21" t="s">
        <v>1254</v>
      </c>
      <c r="N971" s="48">
        <v>45490</v>
      </c>
      <c r="O971" s="21">
        <f>INDEX(Auxiliar!$D$5:$F$13,MATCH(Table1[[#This Row],[Tipologia_Testes]],Auxiliar!$B$5:$B$13,0),MATCH(Table1[[#This Row],[Complexidade]],Auxiliar!$D$4:$F$4,0))</f>
        <v>0.5</v>
      </c>
      <c r="P971" s="2" t="s">
        <v>1324</v>
      </c>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296</v>
      </c>
      <c r="H972" s="58" t="str">
        <f>Table1[[#This Row],[Tabela]]&amp;Table1[[#This Row],[Campo]]</f>
        <v>modesg_inp_emss_scibdivida_total</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297</v>
      </c>
      <c r="H973" s="58" t="str">
        <f>Table1[[#This Row],[Tabela]]&amp;Table1[[#This Row],[Campo]]</f>
        <v>modesg_inp_emss_scibcapital_proprio</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219</v>
      </c>
      <c r="G974" s="13" t="s">
        <v>208</v>
      </c>
      <c r="H974" s="58" t="str">
        <f>Table1[[#This Row],[Tabela]]&amp;Table1[[#This Row],[Campo]]</f>
        <v>modesg_inp_emss_naceref_date</v>
      </c>
      <c r="I974" s="2" t="s">
        <v>613</v>
      </c>
      <c r="J974" s="46">
        <f>VLOOKUP(Table1[[#This Row],[Status]],Auxiliar!$B$16:$C$24,2,0)</f>
        <v>1</v>
      </c>
      <c r="K974" s="21" t="s">
        <v>1257</v>
      </c>
      <c r="L974" s="2" t="s">
        <v>1252</v>
      </c>
      <c r="M974" s="21" t="s">
        <v>1254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219</v>
      </c>
      <c r="G975" s="13" t="s">
        <v>298</v>
      </c>
      <c r="H975" s="58" t="str">
        <f>Table1[[#This Row],[Tabela]]&amp;Table1[[#This Row],[Campo]]</f>
        <v>modesg_inp_emss_naceano</v>
      </c>
      <c r="I975" s="2" t="s">
        <v>613</v>
      </c>
      <c r="J975" s="46">
        <f>VLOOKUP(Table1[[#This Row],[Status]],Auxiliar!$B$16:$C$24,2,0)</f>
        <v>1</v>
      </c>
      <c r="K975" s="21" t="s">
        <v>1257</v>
      </c>
      <c r="L975" s="2" t="s">
        <v>650</v>
      </c>
      <c r="M975" s="21" t="s">
        <v>1254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219</v>
      </c>
      <c r="G976" s="13" t="s">
        <v>222</v>
      </c>
      <c r="H976" s="58" t="str">
        <f>Table1[[#This Row],[Tabela]]&amp;Table1[[#This Row],[Campo]]</f>
        <v>modesg_inp_emss_nacenome_pais</v>
      </c>
      <c r="I976" s="2" t="s">
        <v>613</v>
      </c>
      <c r="J976" s="46">
        <f>VLOOKUP(Table1[[#This Row],[Status]],Auxiliar!$B$16:$C$24,2,0)</f>
        <v>1</v>
      </c>
      <c r="K976" s="21" t="s">
        <v>1257</v>
      </c>
      <c r="L976" s="2" t="s">
        <v>650</v>
      </c>
      <c r="M976" s="21" t="s">
        <v>1254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1296</v>
      </c>
      <c r="E977" s="2" t="s">
        <v>38</v>
      </c>
      <c r="F977" s="13" t="s">
        <v>219</v>
      </c>
      <c r="G977" s="13" t="s">
        <v>282</v>
      </c>
      <c r="H977" s="58" t="str">
        <f>Table1[[#This Row],[Tabela]]&amp;Table1[[#This Row],[Campo]]</f>
        <v>modesg_inp_emss_nacecod_nace_esg</v>
      </c>
      <c r="I977" s="2" t="s">
        <v>613</v>
      </c>
      <c r="J977" s="46">
        <f>VLOOKUP(Table1[[#This Row],[Status]],Auxiliar!$B$16:$C$24,2,0)</f>
        <v>1</v>
      </c>
      <c r="K977" s="21" t="s">
        <v>1249</v>
      </c>
      <c r="L977" s="2" t="s">
        <v>1252</v>
      </c>
      <c r="M977" s="21" t="s">
        <v>1254</v>
      </c>
      <c r="N977" s="48">
        <v>45562</v>
      </c>
      <c r="O977" s="21">
        <f>INDEX(Auxiliar!$D$5:$F$13,MATCH(Table1[[#This Row],[Tipologia_Testes]],Auxiliar!$B$5:$B$13,0),MATCH(Table1[[#This Row],[Complexidade]],Auxiliar!$D$4:$F$4,0))</f>
        <v>0.1</v>
      </c>
      <c r="P977" s="23" t="s">
        <v>1325</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1296</v>
      </c>
      <c r="E978" s="2" t="s">
        <v>38</v>
      </c>
      <c r="F978" s="13" t="s">
        <v>219</v>
      </c>
      <c r="G978" s="13" t="s">
        <v>282</v>
      </c>
      <c r="H978" s="58" t="str">
        <f>Table1[[#This Row],[Tabela]]&amp;Table1[[#This Row],[Campo]]</f>
        <v>modesg_inp_emss_nacecod_nace_esg</v>
      </c>
      <c r="I978" s="2" t="s">
        <v>613</v>
      </c>
      <c r="J978" s="46">
        <f>VLOOKUP(Table1[[#This Row],[Status]],Auxiliar!$B$16:$C$24,2,0)</f>
        <v>1</v>
      </c>
      <c r="K978" s="21" t="s">
        <v>1257</v>
      </c>
      <c r="L978" s="2" t="s">
        <v>1252</v>
      </c>
      <c r="M978" s="21" t="s">
        <v>1254</v>
      </c>
      <c r="N978" s="48">
        <v>45562</v>
      </c>
      <c r="O978" s="21">
        <f>INDEX(Auxiliar!$D$5:$F$13,MATCH(Table1[[#This Row],[Tipologia_Testes]],Auxiliar!$B$5:$B$13,0),MATCH(Table1[[#This Row],[Complexidade]],Auxiliar!$D$4:$F$4,0))</f>
        <v>0.5</v>
      </c>
      <c r="P978" s="23" t="s">
        <v>1325</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299</v>
      </c>
      <c r="H979" s="58" t="str">
        <f>Table1[[#This Row],[Tabela]]&amp;Table1[[#This Row],[Campo]]</f>
        <v>modesg_inp_emss_nacecod_class_indust</v>
      </c>
      <c r="I979" s="2" t="s">
        <v>613</v>
      </c>
      <c r="J979" s="46">
        <f>VLOOKUP(Table1[[#This Row],[Status]],Auxiliar!$B$16:$C$24,2,0)</f>
        <v>1</v>
      </c>
      <c r="K979" s="21" t="s">
        <v>1257</v>
      </c>
      <c r="L979" s="2" t="s">
        <v>1252</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1296</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1257</v>
      </c>
      <c r="L980" s="2" t="s">
        <v>650</v>
      </c>
      <c r="M980" s="21" t="s">
        <v>1254</v>
      </c>
      <c r="N980" s="48">
        <v>45537</v>
      </c>
      <c r="O980" s="21">
        <f>INDEX(Auxiliar!$D$5:$F$13,MATCH(Table1[[#This Row],[Tipologia_Testes]],Auxiliar!$B$5:$B$13,0),MATCH(Table1[[#This Row],[Complexidade]],Auxiliar!$D$4:$F$4,0))</f>
        <v>0.5</v>
      </c>
      <c r="P980" s="2" t="s">
        <v>1326</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1296</v>
      </c>
      <c r="E981" s="2" t="s">
        <v>38</v>
      </c>
      <c r="F981" s="13" t="s">
        <v>219</v>
      </c>
      <c r="G981" s="13" t="s">
        <v>301</v>
      </c>
      <c r="H981" s="58" t="str">
        <f>Table1[[#This Row],[Tabela]]&amp;Table1[[#This Row],[Campo]]</f>
        <v>modesg_inp_emss_naceclasse_ativo</v>
      </c>
      <c r="I981" s="2" t="s">
        <v>613</v>
      </c>
      <c r="J981" s="46">
        <f>VLOOKUP(Table1[[#This Row],[Status]],Auxiliar!$B$16:$C$24,2,0)</f>
        <v>1</v>
      </c>
      <c r="K981" s="21" t="s">
        <v>1257</v>
      </c>
      <c r="L981" s="2" t="s">
        <v>650</v>
      </c>
      <c r="M981" s="21" t="s">
        <v>1254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1257</v>
      </c>
      <c r="L982" s="2" t="s">
        <v>650</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230</v>
      </c>
      <c r="H983" s="58" t="str">
        <f>Table1[[#This Row],[Tabela]]&amp;Table1[[#This Row],[Campo]]</f>
        <v>modesg_inp_emss_naceunidade_funcional</v>
      </c>
      <c r="I983" s="2" t="s">
        <v>613</v>
      </c>
      <c r="J983" s="46">
        <f>VLOOKUP(Table1[[#This Row],[Status]],Auxiliar!$B$16:$C$24,2,0)</f>
        <v>1</v>
      </c>
      <c r="K983" s="21" t="s">
        <v>1249</v>
      </c>
      <c r="L983" s="2" t="s">
        <v>1252</v>
      </c>
      <c r="M983" s="21" t="s">
        <v>1254</v>
      </c>
      <c r="N983" s="48">
        <v>45540</v>
      </c>
      <c r="O983" s="21">
        <f>INDEX(Auxiliar!$D$5:$F$13,MATCH(Table1[[#This Row],[Tipologia_Testes]],Auxiliar!$B$5:$B$13,0),MATCH(Table1[[#This Row],[Complexidade]],Auxiliar!$D$4:$F$4,0))</f>
        <v>0.1</v>
      </c>
      <c r="P983" s="2" t="s">
        <v>1327</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1296</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1257</v>
      </c>
      <c r="L984" s="2" t="s">
        <v>1252</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1257</v>
      </c>
      <c r="L985" s="2" t="s">
        <v>1252</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233</v>
      </c>
      <c r="H986" s="58" t="str">
        <f>Table1[[#This Row],[Tabela]]&amp;Table1[[#This Row],[Campo]]</f>
        <v>modesg_inp_emss_nacescore_qualidade</v>
      </c>
      <c r="I986" s="2" t="s">
        <v>613</v>
      </c>
      <c r="J986" s="46">
        <f>VLOOKUP(Table1[[#This Row],[Status]],Auxiliar!$B$16:$C$24,2,0)</f>
        <v>1</v>
      </c>
      <c r="K986" s="21" t="s">
        <v>1257</v>
      </c>
      <c r="L986" s="2" t="s">
        <v>1244</v>
      </c>
      <c r="M986" s="21" t="s">
        <v>1254</v>
      </c>
      <c r="N986" s="48">
        <v>45540</v>
      </c>
      <c r="O986" s="21">
        <f>INDEX(Auxiliar!$D$5:$F$13,MATCH(Table1[[#This Row],[Tipologia_Testes]],Auxiliar!$B$5:$B$13,0),MATCH(Table1[[#This Row],[Complexidade]],Auxiliar!$D$4:$F$4,0))</f>
        <v>0.5</v>
      </c>
      <c r="P986" s="2" t="s">
        <v>1324</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1296</v>
      </c>
      <c r="E987" s="2" t="s">
        <v>38</v>
      </c>
      <c r="F987" s="13" t="s">
        <v>219</v>
      </c>
      <c r="G987" s="13" t="s">
        <v>234</v>
      </c>
      <c r="H987" s="58" t="str">
        <f>Table1[[#This Row],[Tabela]]&amp;Table1[[#This Row],[Campo]]</f>
        <v>modesg_inp_emss_nacescp1_ftr_emss</v>
      </c>
      <c r="I987" s="2" t="s">
        <v>613</v>
      </c>
      <c r="J987" s="46">
        <f>VLOOKUP(Table1[[#This Row],[Status]],Auxiliar!$B$16:$C$24,2,0)</f>
        <v>1</v>
      </c>
      <c r="K987" s="21" t="s">
        <v>1249</v>
      </c>
      <c r="L987" s="2" t="s">
        <v>1252</v>
      </c>
      <c r="M987" s="21" t="s">
        <v>1254</v>
      </c>
      <c r="N987" s="48">
        <v>45562</v>
      </c>
      <c r="O987" s="21">
        <f>INDEX(Auxiliar!$D$5:$F$13,MATCH(Table1[[#This Row],[Tipologia_Testes]],Auxiliar!$B$5:$B$13,0),MATCH(Table1[[#This Row],[Complexidade]],Auxiliar!$D$4:$F$4,0))</f>
        <v>0.1</v>
      </c>
      <c r="P987" s="2" t="s">
        <v>1328</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1296</v>
      </c>
      <c r="E988" s="2" t="s">
        <v>38</v>
      </c>
      <c r="F988" s="13" t="s">
        <v>219</v>
      </c>
      <c r="G988" s="13" t="s">
        <v>234</v>
      </c>
      <c r="H988" s="58" t="str">
        <f>Table1[[#This Row],[Tabela]]&amp;Table1[[#This Row],[Campo]]</f>
        <v>modesg_inp_emss_nacescp1_ftr_emss</v>
      </c>
      <c r="I988" s="2" t="s">
        <v>613</v>
      </c>
      <c r="J988" s="46">
        <f>VLOOKUP(Table1[[#This Row],[Status]],Auxiliar!$B$16:$C$24,2,0)</f>
        <v>1</v>
      </c>
      <c r="K988" s="21" t="s">
        <v>1257</v>
      </c>
      <c r="L988" s="2" t="s">
        <v>1252</v>
      </c>
      <c r="M988" s="21" t="s">
        <v>1254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235</v>
      </c>
      <c r="H989" s="58" t="str">
        <f>Table1[[#This Row],[Tabela]]&amp;Table1[[#This Row],[Campo]]</f>
        <v>modesg_inp_emss_nacescp2_ftr_emss</v>
      </c>
      <c r="I989" s="2" t="s">
        <v>613</v>
      </c>
      <c r="J989" s="46">
        <f>VLOOKUP(Table1[[#This Row],[Status]],Auxiliar!$B$16:$C$24,2,0)</f>
        <v>1</v>
      </c>
      <c r="K989" s="21" t="s">
        <v>1249</v>
      </c>
      <c r="L989" s="2" t="s">
        <v>1252</v>
      </c>
      <c r="M989" s="21" t="s">
        <v>1254</v>
      </c>
      <c r="N989" s="48">
        <v>45562</v>
      </c>
      <c r="O989" s="21">
        <f>INDEX(Auxiliar!$D$5:$F$13,MATCH(Table1[[#This Row],[Tipologia_Testes]],Auxiliar!$B$5:$B$13,0),MATCH(Table1[[#This Row],[Complexidade]],Auxiliar!$D$4:$F$4,0))</f>
        <v>0.1</v>
      </c>
      <c r="P989" s="2" t="s">
        <v>1328</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1296</v>
      </c>
      <c r="E990" s="2" t="s">
        <v>38</v>
      </c>
      <c r="F990" s="13" t="s">
        <v>219</v>
      </c>
      <c r="G990" s="13" t="s">
        <v>235</v>
      </c>
      <c r="H990" s="58" t="str">
        <f>Table1[[#This Row],[Tabela]]&amp;Table1[[#This Row],[Campo]]</f>
        <v>modesg_inp_emss_nacescp2_ftr_emss</v>
      </c>
      <c r="I990" s="2" t="s">
        <v>613</v>
      </c>
      <c r="J990" s="46">
        <f>VLOOKUP(Table1[[#This Row],[Status]],Auxiliar!$B$16:$C$24,2,0)</f>
        <v>1</v>
      </c>
      <c r="K990" s="21" t="s">
        <v>1257</v>
      </c>
      <c r="L990" s="2" t="s">
        <v>1252</v>
      </c>
      <c r="M990" s="21" t="s">
        <v>1254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1296</v>
      </c>
      <c r="E991" s="2" t="s">
        <v>38</v>
      </c>
      <c r="F991" s="13" t="s">
        <v>219</v>
      </c>
      <c r="G991" s="13" t="s">
        <v>236</v>
      </c>
      <c r="H991" s="58" t="str">
        <f>Table1[[#This Row],[Tabela]]&amp;Table1[[#This Row],[Campo]]</f>
        <v>modesg_inp_emss_nacescp3_ftr_emss</v>
      </c>
      <c r="I991" s="2" t="s">
        <v>613</v>
      </c>
      <c r="J991" s="46">
        <f>VLOOKUP(Table1[[#This Row],[Status]],Auxiliar!$B$16:$C$24,2,0)</f>
        <v>1</v>
      </c>
      <c r="K991" s="21" t="s">
        <v>1249</v>
      </c>
      <c r="L991" s="2" t="s">
        <v>1252</v>
      </c>
      <c r="M991" s="21" t="s">
        <v>1254</v>
      </c>
      <c r="N991" s="48">
        <v>45562</v>
      </c>
      <c r="O991" s="21">
        <f>INDEX(Auxiliar!$D$5:$F$13,MATCH(Table1[[#This Row],[Tipologia_Testes]],Auxiliar!$B$5:$B$13,0),MATCH(Table1[[#This Row],[Complexidade]],Auxiliar!$D$4:$F$4,0))</f>
        <v>0.1</v>
      </c>
      <c r="P991" s="2" t="s">
        <v>1328</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1296</v>
      </c>
      <c r="E992" s="2" t="s">
        <v>38</v>
      </c>
      <c r="F992" s="13" t="s">
        <v>219</v>
      </c>
      <c r="G992" s="13" t="s">
        <v>236</v>
      </c>
      <c r="H992" s="58" t="str">
        <f>Table1[[#This Row],[Tabela]]&amp;Table1[[#This Row],[Campo]]</f>
        <v>modesg_inp_emss_nacescp3_ftr_emss</v>
      </c>
      <c r="I992" s="2" t="s">
        <v>613</v>
      </c>
      <c r="J992" s="46">
        <f>VLOOKUP(Table1[[#This Row],[Status]],Auxiliar!$B$16:$C$24,2,0)</f>
        <v>1</v>
      </c>
      <c r="K992" s="21" t="s">
        <v>1257</v>
      </c>
      <c r="L992" s="2" t="s">
        <v>1252</v>
      </c>
      <c r="M992" s="21" t="s">
        <v>1254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1296</v>
      </c>
      <c r="E993" s="2" t="s">
        <v>38</v>
      </c>
      <c r="F993" s="13" t="s">
        <v>220</v>
      </c>
      <c r="G993" s="13" t="s">
        <v>208</v>
      </c>
      <c r="H993" s="58" t="str">
        <f>Table1[[#This Row],[Tabela]]&amp;Table1[[#This Row],[Campo]]</f>
        <v>modesg_inp_emss_bens_imoveisref_date</v>
      </c>
      <c r="I993" s="2" t="s">
        <v>613</v>
      </c>
      <c r="J993" s="46">
        <f>VLOOKUP(Table1[[#This Row],[Status]],Auxiliar!$B$16:$C$24,2,0)</f>
        <v>1</v>
      </c>
      <c r="K993" s="21" t="s">
        <v>1257</v>
      </c>
      <c r="L993" s="21" t="s">
        <v>1252</v>
      </c>
      <c r="M993" s="21" t="s">
        <v>1254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1296</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1257</v>
      </c>
      <c r="L994" s="21" t="s">
        <v>1252</v>
      </c>
      <c r="M994" s="21" t="s">
        <v>1254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1296</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1257</v>
      </c>
      <c r="L995" s="21" t="s">
        <v>1252</v>
      </c>
      <c r="M995" s="21" t="s">
        <v>1254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1296</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1257</v>
      </c>
      <c r="L996" s="2" t="s">
        <v>650</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1257</v>
      </c>
      <c r="L997" s="2" t="s">
        <v>650</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305</v>
      </c>
      <c r="H998" s="58" t="str">
        <f>Table1[[#This Row],[Tabela]]&amp;Table1[[#This Row],[Campo]]</f>
        <v>modesg_inp_emss_bens_imoveisregiao</v>
      </c>
      <c r="I998" s="2" t="s">
        <v>613</v>
      </c>
      <c r="J998" s="46">
        <f>VLOOKUP(Table1[[#This Row],[Status]],Auxiliar!$B$16:$C$24,2,0)</f>
        <v>1</v>
      </c>
      <c r="K998" s="21" t="s">
        <v>1257</v>
      </c>
      <c r="L998" s="2" t="s">
        <v>650</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13" t="s">
        <v>306</v>
      </c>
      <c r="H999" s="58" t="str">
        <f>Table1[[#This Row],[Tabela]]&amp;Table1[[#This Row],[Campo]]</f>
        <v>modesg_inp_emss_bens_imoveistipo_bem</v>
      </c>
      <c r="I999" s="2" t="s">
        <v>613</v>
      </c>
      <c r="J999" s="46">
        <f>VLOOKUP(Table1[[#This Row],[Status]],Auxiliar!$B$16:$C$24,2,0)</f>
        <v>1</v>
      </c>
      <c r="K999" s="21" t="s">
        <v>1257</v>
      </c>
      <c r="L999" s="21" t="s">
        <v>1252</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1257</v>
      </c>
      <c r="L1000" s="21" t="s">
        <v>1252</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1257</v>
      </c>
      <c r="L1001" s="21" t="s">
        <v>1252</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1296</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t="s">
        <v>1329</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1257</v>
      </c>
      <c r="L1005" s="21" t="s">
        <v>1252</v>
      </c>
      <c r="M1005" s="21" t="s">
        <v>1254</v>
      </c>
      <c r="N1005" s="48">
        <v>45546</v>
      </c>
      <c r="O1005" s="21">
        <f>INDEX(Auxiliar!$D$5:$F$13,MATCH(Table1[[#This Row],[Tipologia_Testes]],Auxiliar!$B$5:$B$13,0),MATCH(Table1[[#This Row],[Complexidade]],Auxiliar!$D$4:$F$4,0))</f>
        <v>0.5</v>
      </c>
      <c r="P1005" s="2" t="s">
        <v>1329</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1296</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t="s">
        <v>1329</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1257</v>
      </c>
      <c r="L1007" s="2" t="s">
        <v>1244</v>
      </c>
      <c r="M1007" s="21" t="s">
        <v>1254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1257</v>
      </c>
      <c r="L1008" s="2" t="s">
        <v>650</v>
      </c>
      <c r="M1008" s="21" t="s">
        <v>1254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1249</v>
      </c>
      <c r="L1009" s="21" t="s">
        <v>1252</v>
      </c>
      <c r="M1009" s="21" t="s">
        <v>1254</v>
      </c>
      <c r="N1009" s="48">
        <v>45546</v>
      </c>
      <c r="O1009" s="21">
        <f>INDEX(Auxiliar!$D$5:$F$13,MATCH(Table1[[#This Row],[Tipologia_Testes]],Auxiliar!$B$5:$B$13,0),MATCH(Table1[[#This Row],[Complexidade]],Auxiliar!$D$4:$F$4,0))</f>
        <v>0.1</v>
      </c>
      <c r="P1009" s="2" t="s">
        <v>1330</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1296</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1257</v>
      </c>
      <c r="L1010" s="21" t="s">
        <v>1252</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1249</v>
      </c>
      <c r="L1011" s="21" t="s">
        <v>1252</v>
      </c>
      <c r="M1011" s="21" t="s">
        <v>1254</v>
      </c>
      <c r="N1011" s="48">
        <v>45546</v>
      </c>
      <c r="O1011" s="21">
        <f>INDEX(Auxiliar!$D$5:$F$13,MATCH(Table1[[#This Row],[Tipologia_Testes]],Auxiliar!$B$5:$B$13,0),MATCH(Table1[[#This Row],[Complexidade]],Auxiliar!$D$4:$F$4,0))</f>
        <v>0.1</v>
      </c>
      <c r="P1011" s="2" t="s">
        <v>1330</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1296</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1257</v>
      </c>
      <c r="L1012" s="21" t="s">
        <v>1252</v>
      </c>
      <c r="M1012" s="21" t="s">
        <v>1254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1296</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1257</v>
      </c>
      <c r="L1013" s="21" t="s">
        <v>1252</v>
      </c>
      <c r="M1013" s="21" t="s">
        <v>1254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1331</v>
      </c>
      <c r="F1014" s="40" t="s">
        <v>336</v>
      </c>
      <c r="G1014" s="38" t="s">
        <v>337</v>
      </c>
      <c r="H1014" s="60" t="str">
        <f>Table1[[#This Row],[Tabela]]&amp;Table1[[#This Row],[Campo]]</f>
        <v>lt003_entitynace_esg</v>
      </c>
      <c r="I1014" s="2" t="s">
        <v>614</v>
      </c>
      <c r="J1014" s="45">
        <f>VLOOKUP(Table1[[#This Row],[Status]],Auxiliar!$B$16:$C$24,2,0)</f>
        <v>4</v>
      </c>
      <c r="K1014" s="45" t="s">
        <v>1246</v>
      </c>
      <c r="L1014" s="46" t="s">
        <v>1252</v>
      </c>
      <c r="M1014" s="21" t="s">
        <v>1253</v>
      </c>
      <c r="N1014" s="48">
        <v>45667</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1331</v>
      </c>
      <c r="F1015" s="40" t="s">
        <v>336</v>
      </c>
      <c r="G1015" s="38" t="s">
        <v>337</v>
      </c>
      <c r="H1015" s="60" t="str">
        <f>Table1[[#This Row],[Tabela]]&amp;Table1[[#This Row],[Campo]]</f>
        <v>lt003_entitynace_esg</v>
      </c>
      <c r="I1015" s="2" t="s">
        <v>614</v>
      </c>
      <c r="J1015" s="45">
        <f>VLOOKUP(Table1[[#This Row],[Status]],Auxiliar!$B$16:$C$24,2,0)</f>
        <v>4</v>
      </c>
      <c r="K1015" s="45" t="s">
        <v>1247</v>
      </c>
      <c r="L1015" s="46" t="s">
        <v>1252</v>
      </c>
      <c r="M1015" s="21" t="s">
        <v>1253</v>
      </c>
      <c r="N1015" s="48">
        <v>45667</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1331</v>
      </c>
      <c r="F1016" s="40" t="s">
        <v>336</v>
      </c>
      <c r="G1016" s="38" t="s">
        <v>337</v>
      </c>
      <c r="H1016" s="60" t="str">
        <f>Table1[[#This Row],[Tabela]]&amp;Table1[[#This Row],[Campo]]</f>
        <v>lt003_entitynace_esg</v>
      </c>
      <c r="I1016" s="2" t="s">
        <v>614</v>
      </c>
      <c r="J1016" s="45">
        <f>VLOOKUP(Table1[[#This Row],[Status]],Auxiliar!$B$16:$C$24,2,0)</f>
        <v>4</v>
      </c>
      <c r="K1016" s="45" t="s">
        <v>1249</v>
      </c>
      <c r="L1016" s="46" t="s">
        <v>1252</v>
      </c>
      <c r="M1016" s="21" t="s">
        <v>1253</v>
      </c>
      <c r="N1016" s="48">
        <v>45667</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1246</v>
      </c>
      <c r="L1017" s="46" t="s">
        <v>1252</v>
      </c>
      <c r="M1017" s="21" t="s">
        <v>1253</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1247</v>
      </c>
      <c r="L1018" s="46" t="s">
        <v>1252</v>
      </c>
      <c r="M1018" s="21" t="s">
        <v>1253</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1249</v>
      </c>
      <c r="L1019" s="46" t="s">
        <v>1252</v>
      </c>
      <c r="M1019" s="21" t="s">
        <v>1253</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1246</v>
      </c>
      <c r="L1041" s="46" t="s">
        <v>1252</v>
      </c>
      <c r="M1041" s="21" t="s">
        <v>1253</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1247</v>
      </c>
      <c r="L1042" s="46" t="s">
        <v>1252</v>
      </c>
      <c r="M1042" s="21" t="s">
        <v>1253</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1249</v>
      </c>
      <c r="L1043" s="46" t="s">
        <v>1252</v>
      </c>
      <c r="M1043" s="21" t="s">
        <v>1253</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1246</v>
      </c>
      <c r="L1044" s="46" t="s">
        <v>1252</v>
      </c>
      <c r="M1044" s="21" t="s">
        <v>1253</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1247</v>
      </c>
      <c r="L1045" s="46" t="s">
        <v>1252</v>
      </c>
      <c r="M1045" s="21" t="s">
        <v>1253</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1249</v>
      </c>
      <c r="L1046" s="46" t="s">
        <v>1252</v>
      </c>
      <c r="M1046" s="21" t="s">
        <v>1253</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1331</v>
      </c>
      <c r="F1059" s="40" t="s">
        <v>336</v>
      </c>
      <c r="G1059" s="38" t="s">
        <v>353</v>
      </c>
      <c r="H1059" s="60" t="str">
        <f>Table1[[#This Row],[Tabela]]&amp;Table1[[#This Row],[Campo]]</f>
        <v>lt003_entityflg_nfrd_applcblty</v>
      </c>
      <c r="I1059" s="2" t="s">
        <v>613</v>
      </c>
      <c r="J1059" s="45">
        <f>VLOOKUP(Table1[[#This Row],[Status]],Auxiliar!$B$16:$C$24,2,0)</f>
        <v>1</v>
      </c>
      <c r="K1059" s="45" t="s">
        <v>1246</v>
      </c>
      <c r="L1059" s="46" t="s">
        <v>1252</v>
      </c>
      <c r="M1059" s="21" t="s">
        <v>1253</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1331</v>
      </c>
      <c r="F1060" s="39" t="s">
        <v>336</v>
      </c>
      <c r="G1060" s="39" t="s">
        <v>353</v>
      </c>
      <c r="H1060" s="59" t="str">
        <f>Table1[[#This Row],[Tabela]]&amp;Table1[[#This Row],[Campo]]</f>
        <v>lt003_entityflg_nfrd_applcblty</v>
      </c>
      <c r="I1060" s="2" t="s">
        <v>613</v>
      </c>
      <c r="J1060" s="45">
        <f>VLOOKUP(Table1[[#This Row],[Status]],Auxiliar!$B$16:$C$24,2,0)</f>
        <v>1</v>
      </c>
      <c r="K1060" s="45" t="s">
        <v>1247</v>
      </c>
      <c r="L1060" s="46" t="s">
        <v>1252</v>
      </c>
      <c r="M1060" s="21" t="s">
        <v>1253</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1331</v>
      </c>
      <c r="F1061" s="39" t="s">
        <v>336</v>
      </c>
      <c r="G1061" s="39" t="s">
        <v>353</v>
      </c>
      <c r="H1061" s="59" t="str">
        <f>Table1[[#This Row],[Tabela]]&amp;Table1[[#This Row],[Campo]]</f>
        <v>lt003_entityflg_nfrd_applcblty</v>
      </c>
      <c r="I1061" s="2" t="s">
        <v>613</v>
      </c>
      <c r="J1061" s="45">
        <f>VLOOKUP(Table1[[#This Row],[Status]],Auxiliar!$B$16:$C$24,2,0)</f>
        <v>1</v>
      </c>
      <c r="K1061" s="45" t="s">
        <v>1249</v>
      </c>
      <c r="L1061" s="46" t="s">
        <v>1252</v>
      </c>
      <c r="M1061" s="21" t="s">
        <v>1253</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614</v>
      </c>
      <c r="J1062" s="45">
        <f>VLOOKUP(Table1[[#This Row],[Status]],Auxiliar!$B$16:$C$24,2,0)</f>
        <v>4</v>
      </c>
      <c r="K1062" s="45" t="s">
        <v>1246</v>
      </c>
      <c r="L1062" s="46" t="s">
        <v>1252</v>
      </c>
      <c r="M1062" s="21" t="s">
        <v>1253</v>
      </c>
      <c r="N1062" s="48">
        <v>45667</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614</v>
      </c>
      <c r="J1063" s="45">
        <f>VLOOKUP(Table1[[#This Row],[Status]],Auxiliar!$B$16:$C$24,2,0)</f>
        <v>4</v>
      </c>
      <c r="K1063" s="45" t="s">
        <v>1247</v>
      </c>
      <c r="L1063" s="46" t="s">
        <v>1252</v>
      </c>
      <c r="M1063" s="21" t="s">
        <v>1253</v>
      </c>
      <c r="N1063" s="48">
        <v>45667</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614</v>
      </c>
      <c r="J1064" s="45">
        <f>VLOOKUP(Table1[[#This Row],[Status]],Auxiliar!$B$16:$C$24,2,0)</f>
        <v>4</v>
      </c>
      <c r="K1064" s="45" t="s">
        <v>1249</v>
      </c>
      <c r="L1064" s="46" t="s">
        <v>1252</v>
      </c>
      <c r="M1064" s="21" t="s">
        <v>1253</v>
      </c>
      <c r="N1064" s="48">
        <v>45667</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614</v>
      </c>
      <c r="J1065" s="45">
        <f>VLOOKUP(Table1[[#This Row],[Status]],Auxiliar!$B$16:$C$24,2,0)</f>
        <v>4</v>
      </c>
      <c r="K1065" s="45" t="s">
        <v>1246</v>
      </c>
      <c r="L1065" s="46" t="s">
        <v>1252</v>
      </c>
      <c r="M1065" s="21" t="s">
        <v>1253</v>
      </c>
      <c r="N1065" s="48">
        <v>45667</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614</v>
      </c>
      <c r="J1066" s="45">
        <f>VLOOKUP(Table1[[#This Row],[Status]],Auxiliar!$B$16:$C$24,2,0)</f>
        <v>4</v>
      </c>
      <c r="K1066" s="45" t="s">
        <v>1247</v>
      </c>
      <c r="L1066" s="46" t="s">
        <v>1252</v>
      </c>
      <c r="M1066" s="21" t="s">
        <v>1253</v>
      </c>
      <c r="N1066" s="48">
        <v>45667</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614</v>
      </c>
      <c r="J1067" s="45">
        <f>VLOOKUP(Table1[[#This Row],[Status]],Auxiliar!$B$16:$C$24,2,0)</f>
        <v>4</v>
      </c>
      <c r="K1067" s="45" t="s">
        <v>1249</v>
      </c>
      <c r="L1067" s="46" t="s">
        <v>1252</v>
      </c>
      <c r="M1067" s="21" t="s">
        <v>1253</v>
      </c>
      <c r="N1067" s="48">
        <v>45667</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614</v>
      </c>
      <c r="J1068" s="45">
        <f>VLOOKUP(Table1[[#This Row],[Status]],Auxiliar!$B$16:$C$24,2,0)</f>
        <v>4</v>
      </c>
      <c r="K1068" s="45" t="s">
        <v>1246</v>
      </c>
      <c r="L1068" s="46" t="s">
        <v>1252</v>
      </c>
      <c r="M1068" s="21" t="s">
        <v>1253</v>
      </c>
      <c r="N1068" s="48">
        <v>45667</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614</v>
      </c>
      <c r="J1069" s="45">
        <f>VLOOKUP(Table1[[#This Row],[Status]],Auxiliar!$B$16:$C$24,2,0)</f>
        <v>4</v>
      </c>
      <c r="K1069" s="45" t="s">
        <v>1247</v>
      </c>
      <c r="L1069" s="46" t="s">
        <v>1252</v>
      </c>
      <c r="M1069" s="21" t="s">
        <v>1253</v>
      </c>
      <c r="N1069" s="48">
        <v>45667</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614</v>
      </c>
      <c r="J1070" s="45">
        <f>VLOOKUP(Table1[[#This Row],[Status]],Auxiliar!$B$16:$C$24,2,0)</f>
        <v>4</v>
      </c>
      <c r="K1070" s="45" t="s">
        <v>1249</v>
      </c>
      <c r="L1070" s="46" t="s">
        <v>1252</v>
      </c>
      <c r="M1070" s="21" t="s">
        <v>1253</v>
      </c>
      <c r="N1070" s="48">
        <v>45667</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1331</v>
      </c>
      <c r="F1071" s="40" t="s">
        <v>336</v>
      </c>
      <c r="G1071" s="38" t="s">
        <v>357</v>
      </c>
      <c r="H1071" s="60" t="str">
        <f>Table1[[#This Row],[Tabela]]&amp;Table1[[#This Row],[Campo]]</f>
        <v>lt003_entityflg_excldd_eu_prs_algnd_bnchmrk</v>
      </c>
      <c r="I1071" s="2" t="s">
        <v>613</v>
      </c>
      <c r="J1071" s="45">
        <f>VLOOKUP(Table1[[#This Row],[Status]],Auxiliar!$B$16:$C$24,2,0)</f>
        <v>1</v>
      </c>
      <c r="K1071" s="45" t="s">
        <v>1246</v>
      </c>
      <c r="L1071" s="46" t="s">
        <v>1252</v>
      </c>
      <c r="M1071" s="21" t="s">
        <v>1253</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1331</v>
      </c>
      <c r="F1072" s="39" t="s">
        <v>336</v>
      </c>
      <c r="G1072" s="39" t="s">
        <v>357</v>
      </c>
      <c r="H1072" s="59" t="str">
        <f>Table1[[#This Row],[Tabela]]&amp;Table1[[#This Row],[Campo]]</f>
        <v>lt003_entityflg_excldd_eu_prs_algnd_bnchmrk</v>
      </c>
      <c r="I1072" s="2" t="s">
        <v>613</v>
      </c>
      <c r="J1072" s="45">
        <f>VLOOKUP(Table1[[#This Row],[Status]],Auxiliar!$B$16:$C$24,2,0)</f>
        <v>1</v>
      </c>
      <c r="K1072" s="45" t="s">
        <v>1247</v>
      </c>
      <c r="L1072" s="46" t="s">
        <v>1252</v>
      </c>
      <c r="M1072" s="21" t="s">
        <v>1253</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1331</v>
      </c>
      <c r="F1073" s="39" t="s">
        <v>336</v>
      </c>
      <c r="G1073" s="39" t="s">
        <v>357</v>
      </c>
      <c r="H1073" s="59" t="str">
        <f>Table1[[#This Row],[Tabela]]&amp;Table1[[#This Row],[Campo]]</f>
        <v>lt003_entityflg_excldd_eu_prs_algnd_bnchmrk</v>
      </c>
      <c r="I1073" s="2" t="s">
        <v>613</v>
      </c>
      <c r="J1073" s="45">
        <f>VLOOKUP(Table1[[#This Row],[Status]],Auxiliar!$B$16:$C$24,2,0)</f>
        <v>1</v>
      </c>
      <c r="K1073" s="45" t="s">
        <v>1249</v>
      </c>
      <c r="L1073" s="46" t="s">
        <v>1252</v>
      </c>
      <c r="M1073" s="21" t="s">
        <v>1253</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1331</v>
      </c>
      <c r="F1074" s="40" t="s">
        <v>336</v>
      </c>
      <c r="G1074" s="38" t="s">
        <v>358</v>
      </c>
      <c r="H1074" s="60" t="str">
        <f>Table1[[#This Row],[Tabela]]&amp;Table1[[#This Row],[Campo]]</f>
        <v>lt003_entityflg_act_physcl_rsk</v>
      </c>
      <c r="I1074" s="2" t="s">
        <v>613</v>
      </c>
      <c r="J1074" s="45">
        <f>VLOOKUP(Table1[[#This Row],[Status]],Auxiliar!$B$16:$C$24,2,0)</f>
        <v>1</v>
      </c>
      <c r="K1074" s="45" t="s">
        <v>1246</v>
      </c>
      <c r="L1074" s="46" t="s">
        <v>1252</v>
      </c>
      <c r="M1074" s="21" t="s">
        <v>1253</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358</v>
      </c>
      <c r="H1075" s="59" t="str">
        <f>Table1[[#This Row],[Tabela]]&amp;Table1[[#This Row],[Campo]]</f>
        <v>lt003_entityflg_act_physcl_rsk</v>
      </c>
      <c r="I1075" s="2" t="s">
        <v>613</v>
      </c>
      <c r="J1075" s="45">
        <f>VLOOKUP(Table1[[#This Row],[Status]],Auxiliar!$B$16:$C$24,2,0)</f>
        <v>1</v>
      </c>
      <c r="K1075" s="45" t="s">
        <v>1247</v>
      </c>
      <c r="L1075" s="46" t="s">
        <v>1252</v>
      </c>
      <c r="M1075" s="21" t="s">
        <v>1253</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358</v>
      </c>
      <c r="H1076" s="59" t="str">
        <f>Table1[[#This Row],[Tabela]]&amp;Table1[[#This Row],[Campo]]</f>
        <v>lt003_entityflg_act_physcl_rsk</v>
      </c>
      <c r="I1076" s="2" t="s">
        <v>613</v>
      </c>
      <c r="J1076" s="45">
        <f>VLOOKUP(Table1[[#This Row],[Status]],Auxiliar!$B$16:$C$24,2,0)</f>
        <v>1</v>
      </c>
      <c r="K1076" s="45" t="s">
        <v>1249</v>
      </c>
      <c r="L1076" s="46" t="s">
        <v>1252</v>
      </c>
      <c r="M1076" s="21" t="s">
        <v>1253</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359</v>
      </c>
      <c r="H1077" s="60" t="str">
        <f>Table1[[#This Row],[Tabela]]&amp;Table1[[#This Row],[Campo]]</f>
        <v>lt003_entityflg_chrnc_physcl_rsk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359</v>
      </c>
      <c r="H1078" s="59" t="str">
        <f>Table1[[#This Row],[Tabela]]&amp;Table1[[#This Row],[Campo]]</f>
        <v>lt003_entityflg_chrnc_physcl_rsk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359</v>
      </c>
      <c r="H1079" s="59" t="str">
        <f>Table1[[#This Row],[Tabela]]&amp;Table1[[#This Row],[Campo]]</f>
        <v>lt003_entityflg_chrnc_physcl_rsk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1333</v>
      </c>
      <c r="E1080" s="111" t="s">
        <v>1334</v>
      </c>
      <c r="F1080" s="40" t="s">
        <v>336</v>
      </c>
      <c r="G1080" s="38" t="s">
        <v>360</v>
      </c>
      <c r="H1080" s="60" t="str">
        <f>Table1[[#This Row],[Tabela]]&amp;Table1[[#This Row],[Campo]]</f>
        <v>lt003_entitypst_cd</v>
      </c>
      <c r="I1080" s="2" t="s">
        <v>613</v>
      </c>
      <c r="J1080" s="45">
        <f>VLOOKUP(Table1[[#This Row],[Status]],Auxiliar!$B$16:$C$24,2,0)</f>
        <v>1</v>
      </c>
      <c r="K1080" s="45" t="s">
        <v>1246</v>
      </c>
      <c r="L1080" s="46" t="s">
        <v>1252</v>
      </c>
      <c r="M1080" s="21" t="s">
        <v>1253</v>
      </c>
      <c r="N1080" s="48">
        <v>45604</v>
      </c>
      <c r="O1080" s="21">
        <f>INDEX(Auxiliar!$D$5:$F$13,MATCH(Table1[[#This Row],[Tipologia_Testes]],Auxiliar!$B$5:$B$13,0),MATCH(Table1[[#This Row],[Complexidade]],Auxiliar!$D$4:$F$4,0))</f>
        <v>2</v>
      </c>
      <c r="P1080" s="43" t="s">
        <v>1335</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1333</v>
      </c>
      <c r="E1081" s="39" t="s">
        <v>1334</v>
      </c>
      <c r="F1081" s="39" t="s">
        <v>336</v>
      </c>
      <c r="G1081" s="39" t="s">
        <v>360</v>
      </c>
      <c r="H1081" s="59" t="str">
        <f>Table1[[#This Row],[Tabela]]&amp;Table1[[#This Row],[Campo]]</f>
        <v>lt003_entitypst_cd</v>
      </c>
      <c r="I1081" s="2" t="s">
        <v>613</v>
      </c>
      <c r="J1081" s="45">
        <f>VLOOKUP(Table1[[#This Row],[Status]],Auxiliar!$B$16:$C$24,2,0)</f>
        <v>1</v>
      </c>
      <c r="K1081" s="45" t="s">
        <v>1247</v>
      </c>
      <c r="L1081" s="46" t="s">
        <v>1252</v>
      </c>
      <c r="M1081" s="21" t="s">
        <v>1253</v>
      </c>
      <c r="N1081" s="48">
        <v>45604</v>
      </c>
      <c r="O1081" s="21">
        <f>INDEX(Auxiliar!$D$5:$F$13,MATCH(Table1[[#This Row],[Tipologia_Testes]],Auxiliar!$B$5:$B$13,0),MATCH(Table1[[#This Row],[Complexidade]],Auxiliar!$D$4:$F$4,0))</f>
        <v>2</v>
      </c>
      <c r="P1081" s="43" t="s">
        <v>1335</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1333</v>
      </c>
      <c r="E1082" s="39" t="s">
        <v>1334</v>
      </c>
      <c r="F1082" s="39" t="s">
        <v>336</v>
      </c>
      <c r="G1082" s="39" t="s">
        <v>360</v>
      </c>
      <c r="H1082" s="59" t="str">
        <f>Table1[[#This Row],[Tabela]]&amp;Table1[[#This Row],[Campo]]</f>
        <v>lt003_entitypst_cd</v>
      </c>
      <c r="I1082" s="2" t="s">
        <v>613</v>
      </c>
      <c r="J1082" s="45">
        <f>VLOOKUP(Table1[[#This Row],[Status]],Auxiliar!$B$16:$C$24,2,0)</f>
        <v>1</v>
      </c>
      <c r="K1082" s="45" t="s">
        <v>1249</v>
      </c>
      <c r="L1082" s="46" t="s">
        <v>1252</v>
      </c>
      <c r="M1082" s="21" t="s">
        <v>1253</v>
      </c>
      <c r="N1082" s="48">
        <v>45604</v>
      </c>
      <c r="O1082" s="21">
        <f>INDEX(Auxiliar!$D$5:$F$13,MATCH(Table1[[#This Row],[Tipologia_Testes]],Auxiliar!$B$5:$B$13,0),MATCH(Table1[[#This Row],[Complexidade]],Auxiliar!$D$4:$F$4,0))</f>
        <v>0.1</v>
      </c>
      <c r="P1082" s="43" t="s">
        <v>1335</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1246</v>
      </c>
      <c r="L1083" s="46" t="s">
        <v>1252</v>
      </c>
      <c r="M1083" s="21" t="s">
        <v>1253</v>
      </c>
      <c r="N1083" s="48">
        <v>45649</v>
      </c>
      <c r="O1083" s="21">
        <f>INDEX(Auxiliar!$D$5:$F$13,MATCH(Table1[[#This Row],[Tipologia_Testes]],Auxiliar!$B$5:$B$13,0),MATCH(Table1[[#This Row],[Complexidade]],Auxiliar!$D$4:$F$4,0))</f>
        <v>2</v>
      </c>
      <c r="P1083" s="43" t="s">
        <v>1332</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1247</v>
      </c>
      <c r="L1084" s="46" t="s">
        <v>1252</v>
      </c>
      <c r="M1084" s="21" t="s">
        <v>1253</v>
      </c>
      <c r="N1084" s="48">
        <v>45649</v>
      </c>
      <c r="O1084" s="21">
        <f>INDEX(Auxiliar!$D$5:$F$13,MATCH(Table1[[#This Row],[Tipologia_Testes]],Auxiliar!$B$5:$B$13,0),MATCH(Table1[[#This Row],[Complexidade]],Auxiliar!$D$4:$F$4,0))</f>
        <v>2</v>
      </c>
      <c r="P1084" s="43" t="s">
        <v>1332</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1249</v>
      </c>
      <c r="L1085" s="46" t="s">
        <v>1252</v>
      </c>
      <c r="M1085" s="21" t="s">
        <v>1253</v>
      </c>
      <c r="N1085" s="48">
        <v>45649</v>
      </c>
      <c r="O1085" s="21">
        <f>INDEX(Auxiliar!$D$5:$F$13,MATCH(Table1[[#This Row],[Tipologia_Testes]],Auxiliar!$B$5:$B$13,0),MATCH(Table1[[#This Row],[Complexidade]],Auxiliar!$D$4:$F$4,0))</f>
        <v>0.1</v>
      </c>
      <c r="P1085" s="43" t="s">
        <v>1332</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1336</v>
      </c>
      <c r="E1086" s="111" t="s">
        <v>1337</v>
      </c>
      <c r="F1086" s="40" t="s">
        <v>336</v>
      </c>
      <c r="G1086" s="38" t="s">
        <v>362</v>
      </c>
      <c r="H1086" s="60" t="str">
        <f>Table1[[#This Row],[Tabela]]&amp;Table1[[#This Row],[Campo]]</f>
        <v>lt003_entityttl_lblty</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1338</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1336</v>
      </c>
      <c r="E1087" s="39" t="s">
        <v>1337</v>
      </c>
      <c r="F1087" s="39" t="s">
        <v>336</v>
      </c>
      <c r="G1087" s="39" t="s">
        <v>362</v>
      </c>
      <c r="H1087" s="59" t="str">
        <f>Table1[[#This Row],[Tabela]]&amp;Table1[[#This Row],[Campo]]</f>
        <v>lt003_entityttl_lblty</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1338</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1336</v>
      </c>
      <c r="E1088" s="39" t="s">
        <v>1337</v>
      </c>
      <c r="F1088" s="39" t="s">
        <v>336</v>
      </c>
      <c r="G1088" s="39" t="s">
        <v>362</v>
      </c>
      <c r="H1088" s="59" t="str">
        <f>Table1[[#This Row],[Tabela]]&amp;Table1[[#This Row],[Campo]]</f>
        <v>lt003_entityttl_lblty</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1338</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1339</v>
      </c>
      <c r="E1089" s="111" t="s">
        <v>1340</v>
      </c>
      <c r="F1089" s="40" t="s">
        <v>336</v>
      </c>
      <c r="G1089" s="38" t="s">
        <v>239</v>
      </c>
      <c r="H1089" s="60" t="str">
        <f>Table1[[#This Row],[Tabela]]&amp;Table1[[#This Row],[Campo]]</f>
        <v>lt003_entityisin</v>
      </c>
      <c r="I1089" s="2" t="s">
        <v>613</v>
      </c>
      <c r="J1089" s="45">
        <f>VLOOKUP(Table1[[#This Row],[Status]],Auxiliar!$B$16:$C$24,2,0)</f>
        <v>1</v>
      </c>
      <c r="K1089" s="45" t="s">
        <v>1246</v>
      </c>
      <c r="L1089" s="46" t="s">
        <v>1252</v>
      </c>
      <c r="M1089" s="21" t="s">
        <v>1253</v>
      </c>
      <c r="N1089" s="48">
        <v>45632</v>
      </c>
      <c r="O1089" s="21">
        <f>INDEX(Auxiliar!$D$5:$F$13,MATCH(Table1[[#This Row],[Tipologia_Testes]],Auxiliar!$B$5:$B$13,0),MATCH(Table1[[#This Row],[Complexidade]],Auxiliar!$D$4:$F$4,0))</f>
        <v>2</v>
      </c>
      <c r="P1089" s="43" t="s">
        <v>656</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1339</v>
      </c>
      <c r="E1090" s="39" t="s">
        <v>1340</v>
      </c>
      <c r="F1090" s="39" t="s">
        <v>336</v>
      </c>
      <c r="G1090" s="39" t="s">
        <v>239</v>
      </c>
      <c r="H1090" s="59" t="str">
        <f>Table1[[#This Row],[Tabela]]&amp;Table1[[#This Row],[Campo]]</f>
        <v>lt003_entityisin</v>
      </c>
      <c r="I1090" s="2" t="s">
        <v>613</v>
      </c>
      <c r="J1090" s="45">
        <f>VLOOKUP(Table1[[#This Row],[Status]],Auxiliar!$B$16:$C$24,2,0)</f>
        <v>1</v>
      </c>
      <c r="K1090" s="45" t="s">
        <v>1247</v>
      </c>
      <c r="L1090" s="46" t="s">
        <v>1252</v>
      </c>
      <c r="M1090" s="21" t="s">
        <v>1253</v>
      </c>
      <c r="N1090" s="48">
        <v>45632</v>
      </c>
      <c r="O1090" s="21">
        <f>INDEX(Auxiliar!$D$5:$F$13,MATCH(Table1[[#This Row],[Tipologia_Testes]],Auxiliar!$B$5:$B$13,0),MATCH(Table1[[#This Row],[Complexidade]],Auxiliar!$D$4:$F$4,0))</f>
        <v>2</v>
      </c>
      <c r="P1090" s="43" t="s">
        <v>656</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1339</v>
      </c>
      <c r="E1091" s="39" t="s">
        <v>1340</v>
      </c>
      <c r="F1091" s="39" t="s">
        <v>336</v>
      </c>
      <c r="G1091" s="39" t="s">
        <v>239</v>
      </c>
      <c r="H1091" s="59" t="str">
        <f>Table1[[#This Row],[Tabela]]&amp;Table1[[#This Row],[Campo]]</f>
        <v>lt003_entityisin</v>
      </c>
      <c r="I1091" s="2" t="s">
        <v>613</v>
      </c>
      <c r="J1091" s="45">
        <f>VLOOKUP(Table1[[#This Row],[Status]],Auxiliar!$B$16:$C$24,2,0)</f>
        <v>1</v>
      </c>
      <c r="K1091" s="45" t="s">
        <v>1249</v>
      </c>
      <c r="L1091" s="46" t="s">
        <v>1252</v>
      </c>
      <c r="M1091" s="21" t="s">
        <v>1253</v>
      </c>
      <c r="N1091" s="48">
        <v>45632</v>
      </c>
      <c r="O1091" s="21">
        <f>INDEX(Auxiliar!$D$5:$F$13,MATCH(Table1[[#This Row],[Tipologia_Testes]],Auxiliar!$B$5:$B$13,0),MATCH(Table1[[#This Row],[Complexidade]],Auxiliar!$D$4:$F$4,0))</f>
        <v>0.1</v>
      </c>
      <c r="P1091" s="43" t="s">
        <v>656</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1341</v>
      </c>
      <c r="E1092" s="111" t="s">
        <v>1342</v>
      </c>
      <c r="F1092" s="40" t="s">
        <v>336</v>
      </c>
      <c r="G1092" s="38" t="s">
        <v>363</v>
      </c>
      <c r="H1092" s="60" t="str">
        <f>Table1[[#This Row],[Tabela]]&amp;Table1[[#This Row],[Campo]]</f>
        <v>lt003_entitygrp_annl_trnvr_le</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1338</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1341</v>
      </c>
      <c r="E1093" s="39" t="s">
        <v>1342</v>
      </c>
      <c r="F1093" s="39" t="s">
        <v>336</v>
      </c>
      <c r="G1093" s="39" t="s">
        <v>363</v>
      </c>
      <c r="H1093" s="59" t="str">
        <f>Table1[[#This Row],[Tabela]]&amp;Table1[[#This Row],[Campo]]</f>
        <v>lt003_entitygrp_annl_trnvr_le</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1338</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1341</v>
      </c>
      <c r="E1094" s="39" t="s">
        <v>1342</v>
      </c>
      <c r="F1094" s="39" t="s">
        <v>336</v>
      </c>
      <c r="G1094" s="39" t="s">
        <v>363</v>
      </c>
      <c r="H1094" s="59" t="str">
        <f>Table1[[#This Row],[Tabela]]&amp;Table1[[#This Row],[Campo]]</f>
        <v>lt003_entitygrp_annl_trnvr_le</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1338</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1343</v>
      </c>
      <c r="E1095" s="111" t="s">
        <v>1337</v>
      </c>
      <c r="F1095" s="40" t="s">
        <v>336</v>
      </c>
      <c r="G1095" s="38" t="s">
        <v>364</v>
      </c>
      <c r="H1095" s="60" t="str">
        <f>Table1[[#This Row],[Tabela]]&amp;Table1[[#This Row],[Campo]]</f>
        <v>lt003_entitygrp_ttl_lblty</v>
      </c>
      <c r="I1095" s="2" t="s">
        <v>613</v>
      </c>
      <c r="J1095" s="45">
        <f>VLOOKUP(Table1[[#This Row],[Status]],Auxiliar!$B$16:$C$24,2,0)</f>
        <v>1</v>
      </c>
      <c r="K1095" s="45" t="s">
        <v>1246</v>
      </c>
      <c r="L1095" s="46" t="s">
        <v>1252</v>
      </c>
      <c r="M1095" s="21" t="s">
        <v>1253</v>
      </c>
      <c r="N1095" s="48">
        <v>45649</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1343</v>
      </c>
      <c r="E1096" s="39" t="s">
        <v>1337</v>
      </c>
      <c r="F1096" s="39" t="s">
        <v>336</v>
      </c>
      <c r="G1096" s="39" t="s">
        <v>364</v>
      </c>
      <c r="H1096" s="59" t="str">
        <f>Table1[[#This Row],[Tabela]]&amp;Table1[[#This Row],[Campo]]</f>
        <v>lt003_entitygrp_ttl_lblty</v>
      </c>
      <c r="I1096" s="2" t="s">
        <v>613</v>
      </c>
      <c r="J1096" s="45">
        <f>VLOOKUP(Table1[[#This Row],[Status]],Auxiliar!$B$16:$C$24,2,0)</f>
        <v>1</v>
      </c>
      <c r="K1096" s="45" t="s">
        <v>1247</v>
      </c>
      <c r="L1096" s="46" t="s">
        <v>1252</v>
      </c>
      <c r="M1096" s="21" t="s">
        <v>1253</v>
      </c>
      <c r="N1096" s="48">
        <v>45649</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1343</v>
      </c>
      <c r="E1097" s="39" t="s">
        <v>1337</v>
      </c>
      <c r="F1097" s="39" t="s">
        <v>336</v>
      </c>
      <c r="G1097" s="39" t="s">
        <v>364</v>
      </c>
      <c r="H1097" s="59" t="str">
        <f>Table1[[#This Row],[Tabela]]&amp;Table1[[#This Row],[Campo]]</f>
        <v>lt003_entitygrp_ttl_lblty</v>
      </c>
      <c r="I1097" s="2" t="s">
        <v>613</v>
      </c>
      <c r="J1097" s="45">
        <f>VLOOKUP(Table1[[#This Row],[Status]],Auxiliar!$B$16:$C$24,2,0)</f>
        <v>1</v>
      </c>
      <c r="K1097" s="45" t="s">
        <v>1249</v>
      </c>
      <c r="L1097" s="46" t="s">
        <v>1252</v>
      </c>
      <c r="M1097" s="21" t="s">
        <v>1253</v>
      </c>
      <c r="N1097" s="48">
        <v>45649</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1344</v>
      </c>
      <c r="F1098" s="40" t="s">
        <v>336</v>
      </c>
      <c r="G1098" s="38" t="s">
        <v>365</v>
      </c>
      <c r="H1098" s="60" t="str">
        <f>Table1[[#This Row],[Tabela]]&amp;Table1[[#This Row],[Campo]]</f>
        <v>lt003_entityflg_grp_nfrd_applcblty</v>
      </c>
      <c r="I1098" s="2" t="s">
        <v>613</v>
      </c>
      <c r="J1098" s="45">
        <f>VLOOKUP(Table1[[#This Row],[Status]],Auxiliar!$B$16:$C$24,2,0)</f>
        <v>1</v>
      </c>
      <c r="K1098" s="45" t="s">
        <v>1246</v>
      </c>
      <c r="L1098" s="46" t="s">
        <v>1252</v>
      </c>
      <c r="M1098" s="21" t="s">
        <v>1253</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1344</v>
      </c>
      <c r="F1099" s="39" t="s">
        <v>336</v>
      </c>
      <c r="G1099" s="39" t="s">
        <v>365</v>
      </c>
      <c r="H1099" s="59" t="str">
        <f>Table1[[#This Row],[Tabela]]&amp;Table1[[#This Row],[Campo]]</f>
        <v>lt003_entityflg_grp_nfrd_applcblty</v>
      </c>
      <c r="I1099" s="2" t="s">
        <v>613</v>
      </c>
      <c r="J1099" s="45">
        <f>VLOOKUP(Table1[[#This Row],[Status]],Auxiliar!$B$16:$C$24,2,0)</f>
        <v>1</v>
      </c>
      <c r="K1099" s="45" t="s">
        <v>1247</v>
      </c>
      <c r="L1099" s="46" t="s">
        <v>1252</v>
      </c>
      <c r="M1099" s="21" t="s">
        <v>1253</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1344</v>
      </c>
      <c r="F1100" s="39" t="s">
        <v>336</v>
      </c>
      <c r="G1100" s="39" t="s">
        <v>365</v>
      </c>
      <c r="H1100" s="59" t="str">
        <f>Table1[[#This Row],[Tabela]]&amp;Table1[[#This Row],[Campo]]</f>
        <v>lt003_entityflg_grp_nfrd_applcblty</v>
      </c>
      <c r="I1100" s="2" t="s">
        <v>613</v>
      </c>
      <c r="J1100" s="45">
        <f>VLOOKUP(Table1[[#This Row],[Status]],Auxiliar!$B$16:$C$24,2,0)</f>
        <v>1</v>
      </c>
      <c r="K1100" s="45" t="s">
        <v>1249</v>
      </c>
      <c r="L1100" s="46" t="s">
        <v>1252</v>
      </c>
      <c r="M1100" s="21" t="s">
        <v>1253</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1345</v>
      </c>
      <c r="F1101" s="40" t="s">
        <v>336</v>
      </c>
      <c r="G1101" s="38" t="s">
        <v>366</v>
      </c>
      <c r="H1101" s="60" t="str">
        <f>Table1[[#This Row],[Tabela]]&amp;Table1[[#This Row],[Campo]]</f>
        <v>lt003_entitygrp_emssns_scp1</v>
      </c>
      <c r="I1101" s="2" t="s">
        <v>614</v>
      </c>
      <c r="J1101" s="45">
        <f>VLOOKUP(Table1[[#This Row],[Status]],Auxiliar!$B$16:$C$24,2,0)</f>
        <v>4</v>
      </c>
      <c r="K1101" s="45" t="s">
        <v>1246</v>
      </c>
      <c r="L1101" s="46" t="s">
        <v>1252</v>
      </c>
      <c r="M1101" s="21" t="s">
        <v>1253</v>
      </c>
      <c r="N1101" s="48">
        <v>45667</v>
      </c>
      <c r="O1101" s="21">
        <f>INDEX(Auxiliar!$D$5:$F$13,MATCH(Table1[[#This Row],[Tipologia_Testes]],Auxiliar!$B$5:$B$13,0),MATCH(Table1[[#This Row],[Complexidade]],Auxiliar!$D$4:$F$4,0))</f>
        <v>2</v>
      </c>
      <c r="P1101" s="43" t="s">
        <v>1346</v>
      </c>
      <c r="Q1101" s="114"/>
      <c r="R1101" s="152">
        <v>45589</v>
      </c>
      <c r="S1101" s="152"/>
      <c r="T1101" s="152">
        <v>45589</v>
      </c>
      <c r="U1101" s="152"/>
      <c r="V1101" s="152">
        <v>45644</v>
      </c>
      <c r="W1101" s="2">
        <f>VLOOKUP(Table1[[#This Row],[Status]],Auxiliar!$B$16:$D$24,3,0)*Table1[[#This Row],[Estimação (horas)]]</f>
        <v>0.5</v>
      </c>
      <c r="X1101" s="114"/>
    </row>
    <row r="1102" spans="2:24" ht="17.7" hidden="1" customHeight="1">
      <c r="B1102" s="39" t="s">
        <v>26</v>
      </c>
      <c r="C1102" s="39" t="s">
        <v>26</v>
      </c>
      <c r="D1102" s="39" t="s">
        <v>326</v>
      </c>
      <c r="E1102" s="39" t="s">
        <v>1345</v>
      </c>
      <c r="F1102" s="39" t="s">
        <v>336</v>
      </c>
      <c r="G1102" s="39" t="s">
        <v>366</v>
      </c>
      <c r="H1102" s="59" t="str">
        <f>Table1[[#This Row],[Tabela]]&amp;Table1[[#This Row],[Campo]]</f>
        <v>lt003_entitygrp_emssns_scp1</v>
      </c>
      <c r="I1102" s="2" t="s">
        <v>614</v>
      </c>
      <c r="J1102" s="45">
        <f>VLOOKUP(Table1[[#This Row],[Status]],Auxiliar!$B$16:$C$24,2,0)</f>
        <v>4</v>
      </c>
      <c r="K1102" s="45" t="s">
        <v>1247</v>
      </c>
      <c r="L1102" s="46" t="s">
        <v>1252</v>
      </c>
      <c r="M1102" s="21" t="s">
        <v>1253</v>
      </c>
      <c r="N1102" s="48">
        <v>45667</v>
      </c>
      <c r="O1102" s="21">
        <f>INDEX(Auxiliar!$D$5:$F$13,MATCH(Table1[[#This Row],[Tipologia_Testes]],Auxiliar!$B$5:$B$13,0),MATCH(Table1[[#This Row],[Complexidade]],Auxiliar!$D$4:$F$4,0))</f>
        <v>2</v>
      </c>
      <c r="P1102" s="43" t="s">
        <v>1346</v>
      </c>
      <c r="Q1102" s="114"/>
      <c r="R1102" s="152">
        <v>45589</v>
      </c>
      <c r="S1102" s="152"/>
      <c r="T1102" s="152">
        <v>45589</v>
      </c>
      <c r="U1102" s="152"/>
      <c r="V1102" s="152">
        <v>45644</v>
      </c>
      <c r="W1102" s="2">
        <f>VLOOKUP(Table1[[#This Row],[Status]],Auxiliar!$B$16:$D$24,3,0)*Table1[[#This Row],[Estimação (horas)]]</f>
        <v>0.5</v>
      </c>
      <c r="X1102" s="114"/>
    </row>
    <row r="1103" spans="2:24" ht="17.7" hidden="1" customHeight="1">
      <c r="B1103" s="39" t="s">
        <v>26</v>
      </c>
      <c r="C1103" s="39" t="s">
        <v>26</v>
      </c>
      <c r="D1103" s="39" t="s">
        <v>326</v>
      </c>
      <c r="E1103" s="39" t="s">
        <v>1345</v>
      </c>
      <c r="F1103" s="39" t="s">
        <v>336</v>
      </c>
      <c r="G1103" s="39" t="s">
        <v>366</v>
      </c>
      <c r="H1103" s="59" t="str">
        <f>Table1[[#This Row],[Tabela]]&amp;Table1[[#This Row],[Campo]]</f>
        <v>lt003_entitygrp_emssns_scp1</v>
      </c>
      <c r="I1103" s="2" t="s">
        <v>614</v>
      </c>
      <c r="J1103" s="45">
        <f>VLOOKUP(Table1[[#This Row],[Status]],Auxiliar!$B$16:$C$24,2,0)</f>
        <v>4</v>
      </c>
      <c r="K1103" s="45" t="s">
        <v>1249</v>
      </c>
      <c r="L1103" s="46" t="s">
        <v>1252</v>
      </c>
      <c r="M1103" s="21" t="s">
        <v>1253</v>
      </c>
      <c r="N1103" s="48">
        <v>45667</v>
      </c>
      <c r="O1103" s="21">
        <f>INDEX(Auxiliar!$D$5:$F$13,MATCH(Table1[[#This Row],[Tipologia_Testes]],Auxiliar!$B$5:$B$13,0),MATCH(Table1[[#This Row],[Complexidade]],Auxiliar!$D$4:$F$4,0))</f>
        <v>0.1</v>
      </c>
      <c r="P1103" s="43" t="s">
        <v>1346</v>
      </c>
      <c r="Q1103" s="114"/>
      <c r="R1103" s="152">
        <v>45589</v>
      </c>
      <c r="S1103" s="152"/>
      <c r="T1103" s="152">
        <v>45589</v>
      </c>
      <c r="U1103" s="152"/>
      <c r="V1103" s="152">
        <v>45644</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1347</v>
      </c>
      <c r="F1104" s="40" t="s">
        <v>336</v>
      </c>
      <c r="G1104" s="38" t="s">
        <v>367</v>
      </c>
      <c r="H1104" s="60" t="str">
        <f>Table1[[#This Row],[Tabela]]&amp;Table1[[#This Row],[Campo]]</f>
        <v>lt003_entitygrp_emssns_scp2</v>
      </c>
      <c r="I1104" s="2" t="s">
        <v>614</v>
      </c>
      <c r="J1104" s="45">
        <f>VLOOKUP(Table1[[#This Row],[Status]],Auxiliar!$B$16:$C$24,2,0)</f>
        <v>4</v>
      </c>
      <c r="K1104" s="45" t="s">
        <v>1246</v>
      </c>
      <c r="L1104" s="46" t="s">
        <v>1252</v>
      </c>
      <c r="M1104" s="21" t="s">
        <v>1253</v>
      </c>
      <c r="N1104" s="48">
        <v>45667</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0.5</v>
      </c>
      <c r="X1104" s="114"/>
    </row>
    <row r="1105" spans="2:24" ht="17.7" hidden="1" customHeight="1">
      <c r="B1105" s="39" t="s">
        <v>26</v>
      </c>
      <c r="C1105" s="39" t="s">
        <v>26</v>
      </c>
      <c r="D1105" s="39" t="s">
        <v>326</v>
      </c>
      <c r="E1105" s="39" t="s">
        <v>1347</v>
      </c>
      <c r="F1105" s="39" t="s">
        <v>336</v>
      </c>
      <c r="G1105" s="39" t="s">
        <v>367</v>
      </c>
      <c r="H1105" s="59" t="str">
        <f>Table1[[#This Row],[Tabela]]&amp;Table1[[#This Row],[Campo]]</f>
        <v>lt003_entitygrp_emssns_scp2</v>
      </c>
      <c r="I1105" s="2" t="s">
        <v>614</v>
      </c>
      <c r="J1105" s="45">
        <f>VLOOKUP(Table1[[#This Row],[Status]],Auxiliar!$B$16:$C$24,2,0)</f>
        <v>4</v>
      </c>
      <c r="K1105" s="45" t="s">
        <v>1247</v>
      </c>
      <c r="L1105" s="46" t="s">
        <v>1252</v>
      </c>
      <c r="M1105" s="21" t="s">
        <v>1253</v>
      </c>
      <c r="N1105" s="48">
        <v>45667</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0.5</v>
      </c>
      <c r="X1105" s="114"/>
    </row>
    <row r="1106" spans="2:24" ht="17.7" hidden="1" customHeight="1">
      <c r="B1106" s="39" t="s">
        <v>26</v>
      </c>
      <c r="C1106" s="39" t="s">
        <v>26</v>
      </c>
      <c r="D1106" s="39" t="s">
        <v>326</v>
      </c>
      <c r="E1106" s="39" t="s">
        <v>1347</v>
      </c>
      <c r="F1106" s="39" t="s">
        <v>336</v>
      </c>
      <c r="G1106" s="39" t="s">
        <v>367</v>
      </c>
      <c r="H1106" s="59" t="str">
        <f>Table1[[#This Row],[Tabela]]&amp;Table1[[#This Row],[Campo]]</f>
        <v>lt003_entitygrp_emssns_scp2</v>
      </c>
      <c r="I1106" s="2" t="s">
        <v>614</v>
      </c>
      <c r="J1106" s="45">
        <f>VLOOKUP(Table1[[#This Row],[Status]],Auxiliar!$B$16:$C$24,2,0)</f>
        <v>4</v>
      </c>
      <c r="K1106" s="45" t="s">
        <v>1249</v>
      </c>
      <c r="L1106" s="46" t="s">
        <v>1252</v>
      </c>
      <c r="M1106" s="21" t="s">
        <v>1253</v>
      </c>
      <c r="N1106" s="48">
        <v>45667</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1348</v>
      </c>
      <c r="F1107" s="40" t="s">
        <v>336</v>
      </c>
      <c r="G1107" s="38" t="s">
        <v>368</v>
      </c>
      <c r="H1107" s="60" t="str">
        <f>Table1[[#This Row],[Tabela]]&amp;Table1[[#This Row],[Campo]]</f>
        <v>lt003_entitygrp_emssns_scp3</v>
      </c>
      <c r="I1107" s="2" t="s">
        <v>614</v>
      </c>
      <c r="J1107" s="45">
        <f>VLOOKUP(Table1[[#This Row],[Status]],Auxiliar!$B$16:$C$24,2,0)</f>
        <v>4</v>
      </c>
      <c r="K1107" s="45" t="s">
        <v>1246</v>
      </c>
      <c r="L1107" s="46" t="s">
        <v>1252</v>
      </c>
      <c r="M1107" s="21" t="s">
        <v>1253</v>
      </c>
      <c r="N1107" s="48">
        <v>45667</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0.5</v>
      </c>
      <c r="X1107" s="114"/>
    </row>
    <row r="1108" spans="2:24" ht="17.7" hidden="1" customHeight="1">
      <c r="B1108" s="39" t="s">
        <v>26</v>
      </c>
      <c r="C1108" s="39" t="s">
        <v>26</v>
      </c>
      <c r="D1108" s="39" t="s">
        <v>326</v>
      </c>
      <c r="E1108" s="39" t="s">
        <v>1348</v>
      </c>
      <c r="F1108" s="39" t="s">
        <v>336</v>
      </c>
      <c r="G1108" s="39" t="s">
        <v>368</v>
      </c>
      <c r="H1108" s="59" t="str">
        <f>Table1[[#This Row],[Tabela]]&amp;Table1[[#This Row],[Campo]]</f>
        <v>lt003_entitygrp_emssns_scp3</v>
      </c>
      <c r="I1108" s="2" t="s">
        <v>614</v>
      </c>
      <c r="J1108" s="45">
        <f>VLOOKUP(Table1[[#This Row],[Status]],Auxiliar!$B$16:$C$24,2,0)</f>
        <v>4</v>
      </c>
      <c r="K1108" s="45" t="s">
        <v>1247</v>
      </c>
      <c r="L1108" s="46" t="s">
        <v>1252</v>
      </c>
      <c r="M1108" s="21" t="s">
        <v>1253</v>
      </c>
      <c r="N1108" s="48">
        <v>45667</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0.5</v>
      </c>
      <c r="X1108" s="114"/>
    </row>
    <row r="1109" spans="2:24" ht="17.7" hidden="1" customHeight="1">
      <c r="B1109" s="39" t="s">
        <v>26</v>
      </c>
      <c r="C1109" s="39" t="s">
        <v>26</v>
      </c>
      <c r="D1109" s="39" t="s">
        <v>326</v>
      </c>
      <c r="E1109" s="39" t="s">
        <v>1348</v>
      </c>
      <c r="F1109" s="39" t="s">
        <v>336</v>
      </c>
      <c r="G1109" s="39" t="s">
        <v>368</v>
      </c>
      <c r="H1109" s="59" t="str">
        <f>Table1[[#This Row],[Tabela]]&amp;Table1[[#This Row],[Campo]]</f>
        <v>lt003_entitygrp_emssns_scp3</v>
      </c>
      <c r="I1109" s="2" t="s">
        <v>614</v>
      </c>
      <c r="J1109" s="45">
        <f>VLOOKUP(Table1[[#This Row],[Status]],Auxiliar!$B$16:$C$24,2,0)</f>
        <v>4</v>
      </c>
      <c r="K1109" s="45" t="s">
        <v>1249</v>
      </c>
      <c r="L1109" s="46" t="s">
        <v>1252</v>
      </c>
      <c r="M1109" s="21" t="s">
        <v>1253</v>
      </c>
      <c r="N1109" s="48">
        <v>45667</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2.5000000000000001E-2</v>
      </c>
      <c r="X1109" s="114"/>
    </row>
    <row r="1110" spans="2:24" ht="17.7" hidden="1" customHeight="1">
      <c r="B1110" s="41" t="s">
        <v>26</v>
      </c>
      <c r="C1110" s="41" t="s">
        <v>26</v>
      </c>
      <c r="D1110" s="2" t="s">
        <v>400</v>
      </c>
      <c r="E1110" s="40" t="s">
        <v>38</v>
      </c>
      <c r="F1110" s="2" t="s">
        <v>369</v>
      </c>
      <c r="G1110" s="2" t="s">
        <v>437</v>
      </c>
      <c r="H1110" s="57" t="str">
        <f>Table1[[#This Row],[Tabela]]&amp;Table1[[#This Row],[Campo]]</f>
        <v>lt004_protectiontyp_prtctn</v>
      </c>
      <c r="I1110" s="2" t="s">
        <v>613</v>
      </c>
      <c r="J1110" s="45">
        <f>VLOOKUP(Table1[[#This Row],[Status]],Auxiliar!$B$16:$C$24,2,0)</f>
        <v>1</v>
      </c>
      <c r="K1110" s="44" t="s">
        <v>1251</v>
      </c>
      <c r="L1110" s="46" t="s">
        <v>1252</v>
      </c>
      <c r="M1110" s="21" t="s">
        <v>1253</v>
      </c>
      <c r="N1110" s="48">
        <v>45667</v>
      </c>
      <c r="O1110" s="113">
        <v>0.1</v>
      </c>
      <c r="P1110" s="2" t="s">
        <v>2014</v>
      </c>
      <c r="Q1110" s="152"/>
      <c r="R1110" s="152">
        <v>45603</v>
      </c>
      <c r="S1110" s="152"/>
      <c r="T1110" s="152">
        <v>45588</v>
      </c>
      <c r="U1110" s="152">
        <v>45624</v>
      </c>
      <c r="V1110" s="152">
        <v>45624</v>
      </c>
      <c r="W1110" s="2">
        <f>VLOOKUP(Table1[[#This Row],[Status]],Auxiliar!$B$16:$D$24,3,0)*Table1[[#This Row],[Estimação (horas)]]</f>
        <v>0.1</v>
      </c>
      <c r="X1110" s="205"/>
    </row>
    <row r="1111" spans="2:24" ht="17.7" hidden="1" customHeight="1">
      <c r="B1111" s="39" t="s">
        <v>26</v>
      </c>
      <c r="C1111" s="39" t="s">
        <v>26</v>
      </c>
      <c r="D1111" s="389" t="s">
        <v>1349</v>
      </c>
      <c r="E1111" s="392" t="s">
        <v>1331</v>
      </c>
      <c r="F1111" s="391" t="s">
        <v>369</v>
      </c>
      <c r="G1111" s="393" t="s">
        <v>372</v>
      </c>
      <c r="H1111" s="395" t="str">
        <f>Table1[[#This Row],[Tabela]]&amp;Table1[[#This Row],[Campo]]</f>
        <v>lt004_protectiontyp_epc_lbl</v>
      </c>
      <c r="I1111" s="2" t="s">
        <v>613</v>
      </c>
      <c r="J1111" s="45">
        <f>VLOOKUP(Table1[[#This Row],[Status]],Auxiliar!$B$16:$C$24,2,0)</f>
        <v>1</v>
      </c>
      <c r="K1111" s="45" t="s">
        <v>1246</v>
      </c>
      <c r="L1111" s="46" t="s">
        <v>1252</v>
      </c>
      <c r="M1111" s="21" t="s">
        <v>1253</v>
      </c>
      <c r="N1111" s="48">
        <v>45642</v>
      </c>
      <c r="O1111" s="21">
        <f>INDEX(Auxiliar!$D$5:$F$13,MATCH(Table1[[#This Row],[Tipologia_Testes]],Auxiliar!$B$5:$B$13,0),MATCH(Table1[[#This Row],[Complexidade]],Auxiliar!$D$4:$F$4,0))</f>
        <v>2</v>
      </c>
      <c r="P1111" s="43" t="s">
        <v>1350</v>
      </c>
      <c r="Q1111" s="43"/>
      <c r="R1111" s="152">
        <v>45583</v>
      </c>
      <c r="S1111" s="152"/>
      <c r="T1111" s="152">
        <v>45583</v>
      </c>
      <c r="U1111" s="152">
        <v>45596</v>
      </c>
      <c r="V1111" s="152">
        <v>45596</v>
      </c>
      <c r="W1111" s="2">
        <f>VLOOKUP(Table1[[#This Row],[Status]],Auxiliar!$B$16:$D$24,3,0)*Table1[[#This Row],[Estimação (horas)]]</f>
        <v>2</v>
      </c>
      <c r="X1111" s="114"/>
    </row>
    <row r="1112" spans="2:24" ht="17.7" hidden="1" customHeight="1">
      <c r="B1112" s="39" t="s">
        <v>26</v>
      </c>
      <c r="C1112" s="39" t="s">
        <v>26</v>
      </c>
      <c r="D1112" s="39" t="s">
        <v>1349</v>
      </c>
      <c r="E1112" s="39" t="s">
        <v>1331</v>
      </c>
      <c r="F1112" s="39" t="s">
        <v>369</v>
      </c>
      <c r="G1112" s="39" t="s">
        <v>372</v>
      </c>
      <c r="H1112" s="59" t="str">
        <f>Table1[[#This Row],[Tabela]]&amp;Table1[[#This Row],[Campo]]</f>
        <v>lt004_protectiontyp_epc_lbl</v>
      </c>
      <c r="I1112" s="2" t="s">
        <v>613</v>
      </c>
      <c r="J1112" s="45">
        <f>VLOOKUP(Table1[[#This Row],[Status]],Auxiliar!$B$16:$C$24,2,0)</f>
        <v>1</v>
      </c>
      <c r="K1112" s="45" t="s">
        <v>1247</v>
      </c>
      <c r="L1112" s="46" t="s">
        <v>1252</v>
      </c>
      <c r="M1112" s="21" t="s">
        <v>1253</v>
      </c>
      <c r="N1112" s="48">
        <v>45642</v>
      </c>
      <c r="O1112" s="21">
        <f>INDEX(Auxiliar!$D$5:$F$13,MATCH(Table1[[#This Row],[Tipologia_Testes]],Auxiliar!$B$5:$B$13,0),MATCH(Table1[[#This Row],[Complexidade]],Auxiliar!$D$4:$F$4,0))</f>
        <v>2</v>
      </c>
      <c r="P1112" s="43" t="s">
        <v>1350</v>
      </c>
      <c r="Q1112" s="43"/>
      <c r="R1112" s="152">
        <v>45583</v>
      </c>
      <c r="S1112" s="152"/>
      <c r="T1112" s="152">
        <v>45583</v>
      </c>
      <c r="U1112" s="152">
        <v>45596</v>
      </c>
      <c r="V1112" s="152">
        <v>45596</v>
      </c>
      <c r="W1112" s="2">
        <f>VLOOKUP(Table1[[#This Row],[Status]],Auxiliar!$B$16:$D$24,3,0)*Table1[[#This Row],[Estimação (horas)]]</f>
        <v>2</v>
      </c>
      <c r="X1112" s="114"/>
    </row>
    <row r="1113" spans="2:24" ht="17.7" hidden="1" customHeight="1">
      <c r="B1113" s="41" t="s">
        <v>26</v>
      </c>
      <c r="C1113" s="41" t="s">
        <v>26</v>
      </c>
      <c r="D1113" s="43" t="s">
        <v>1349</v>
      </c>
      <c r="E1113" s="43" t="s">
        <v>1331</v>
      </c>
      <c r="F1113" s="43" t="s">
        <v>369</v>
      </c>
      <c r="G1113" s="43" t="s">
        <v>372</v>
      </c>
      <c r="H1113" s="57" t="str">
        <f>Table1[[#This Row],[Tabela]]&amp;Table1[[#This Row],[Campo]]</f>
        <v>lt004_protectiontyp_epc_lbl</v>
      </c>
      <c r="I1113" s="2" t="s">
        <v>613</v>
      </c>
      <c r="J1113" s="45">
        <f>VLOOKUP(Table1[[#This Row],[Status]],Auxiliar!$B$16:$C$24,2,0)</f>
        <v>1</v>
      </c>
      <c r="K1113" s="45" t="s">
        <v>1249</v>
      </c>
      <c r="L1113" s="46" t="s">
        <v>1252</v>
      </c>
      <c r="M1113" s="21" t="s">
        <v>1253</v>
      </c>
      <c r="N1113" s="48">
        <v>45642</v>
      </c>
      <c r="O1113" s="21">
        <f>INDEX(Auxiliar!$D$5:$F$13,MATCH(Table1[[#This Row],[Tipologia_Testes]],Auxiliar!$B$5:$B$13,0),MATCH(Table1[[#This Row],[Complexidade]],Auxiliar!$D$4:$F$4,0))</f>
        <v>0.1</v>
      </c>
      <c r="P1113" s="43" t="s">
        <v>1350</v>
      </c>
      <c r="Q1113" s="43"/>
      <c r="R1113" s="152">
        <v>45583</v>
      </c>
      <c r="S1113" s="152"/>
      <c r="T1113" s="152">
        <v>45583</v>
      </c>
      <c r="U1113" s="152">
        <v>45596</v>
      </c>
      <c r="V1113" s="152">
        <v>45596</v>
      </c>
      <c r="W1113" s="2">
        <f>VLOOKUP(Table1[[#This Row],[Status]],Auxiliar!$B$16:$D$24,3,0)*Table1[[#This Row],[Estimação (horas)]]</f>
        <v>0.1</v>
      </c>
      <c r="X1113" s="114"/>
    </row>
    <row r="1114" spans="2:24" ht="17.7" hidden="1" customHeight="1">
      <c r="B1114" s="39" t="s">
        <v>26</v>
      </c>
      <c r="C1114" s="39" t="s">
        <v>26</v>
      </c>
      <c r="D1114" s="389" t="s">
        <v>1349</v>
      </c>
      <c r="E1114" s="392" t="s">
        <v>1331</v>
      </c>
      <c r="F1114" s="391" t="s">
        <v>369</v>
      </c>
      <c r="G1114" s="393" t="s">
        <v>370</v>
      </c>
      <c r="H1114" s="395" t="str">
        <f>Table1[[#This Row],[Tabela]]&amp;Table1[[#This Row],[Campo]]</f>
        <v>lt004_protectiontyp_ep_scr</v>
      </c>
      <c r="I1114" s="2" t="s">
        <v>613</v>
      </c>
      <c r="J1114" s="45">
        <f>VLOOKUP(Table1[[#This Row],[Status]],Auxiliar!$B$16:$C$24,2,0)</f>
        <v>1</v>
      </c>
      <c r="K1114" s="45" t="s">
        <v>1246</v>
      </c>
      <c r="L1114" s="46" t="s">
        <v>1252</v>
      </c>
      <c r="M1114" s="21" t="s">
        <v>1253</v>
      </c>
      <c r="N1114" s="48">
        <v>45632</v>
      </c>
      <c r="O1114" s="21">
        <f>INDEX(Auxiliar!$D$5:$F$13,MATCH(Table1[[#This Row],[Tipologia_Testes]],Auxiliar!$B$5:$B$13,0),MATCH(Table1[[#This Row],[Complexidade]],Auxiliar!$D$4:$F$4,0))</f>
        <v>2</v>
      </c>
      <c r="P1114" s="43"/>
      <c r="Q1114" s="152"/>
      <c r="R1114" s="152">
        <v>45583</v>
      </c>
      <c r="S1114" s="152"/>
      <c r="T1114" s="152">
        <v>45583</v>
      </c>
      <c r="U1114" s="152">
        <v>45611</v>
      </c>
      <c r="V1114" s="152">
        <v>45611</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370</v>
      </c>
      <c r="H1115" s="59" t="str">
        <f>Table1[[#This Row],[Tabela]]&amp;Table1[[#This Row],[Campo]]</f>
        <v>lt004_protectiontyp_ep_scr</v>
      </c>
      <c r="I1115" s="2" t="s">
        <v>613</v>
      </c>
      <c r="J1115" s="45">
        <f>VLOOKUP(Table1[[#This Row],[Status]],Auxiliar!$B$16:$C$24,2,0)</f>
        <v>1</v>
      </c>
      <c r="K1115" s="45" t="s">
        <v>1247</v>
      </c>
      <c r="L1115" s="46" t="s">
        <v>1252</v>
      </c>
      <c r="M1115" s="21" t="s">
        <v>1253</v>
      </c>
      <c r="N1115" s="48">
        <v>45632</v>
      </c>
      <c r="O1115" s="21">
        <f>INDEX(Auxiliar!$D$5:$F$13,MATCH(Table1[[#This Row],[Tipologia_Testes]],Auxiliar!$B$5:$B$13,0),MATCH(Table1[[#This Row],[Complexidade]],Auxiliar!$D$4:$F$4,0))</f>
        <v>2</v>
      </c>
      <c r="P1115" s="43"/>
      <c r="Q1115" s="152"/>
      <c r="R1115" s="152">
        <v>45583</v>
      </c>
      <c r="S1115" s="152"/>
      <c r="T1115" s="152">
        <v>45583</v>
      </c>
      <c r="U1115" s="152">
        <v>45611</v>
      </c>
      <c r="V1115" s="152">
        <v>45611</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370</v>
      </c>
      <c r="H1116" s="57" t="str">
        <f>Table1[[#This Row],[Tabela]]&amp;Table1[[#This Row],[Campo]]</f>
        <v>lt004_protectiontyp_ep_scr</v>
      </c>
      <c r="I1116" s="2" t="s">
        <v>613</v>
      </c>
      <c r="J1116" s="45">
        <f>VLOOKUP(Table1[[#This Row],[Status]],Auxiliar!$B$16:$C$24,2,0)</f>
        <v>1</v>
      </c>
      <c r="K1116" s="45" t="s">
        <v>1249</v>
      </c>
      <c r="L1116" s="46" t="s">
        <v>1252</v>
      </c>
      <c r="M1116" s="21" t="s">
        <v>1253</v>
      </c>
      <c r="N1116" s="48">
        <v>45632</v>
      </c>
      <c r="O1116" s="21">
        <f>INDEX(Auxiliar!$D$5:$F$13,MATCH(Table1[[#This Row],[Tipologia_Testes]],Auxiliar!$B$5:$B$13,0),MATCH(Table1[[#This Row],[Complexidade]],Auxiliar!$D$4:$F$4,0))</f>
        <v>0.1</v>
      </c>
      <c r="P1116" s="43"/>
      <c r="Q1116" s="396"/>
      <c r="R1116" s="152">
        <v>45583</v>
      </c>
      <c r="S1116" s="152"/>
      <c r="T1116" s="152">
        <v>45583</v>
      </c>
      <c r="U1116" s="152">
        <v>45611</v>
      </c>
      <c r="V1116" s="152">
        <v>45611</v>
      </c>
      <c r="W1116" s="2">
        <f>VLOOKUP(Table1[[#This Row],[Status]],Auxiliar!$B$16:$D$24,3,0)*Table1[[#This Row],[Estimação (horas)]]</f>
        <v>0.1</v>
      </c>
      <c r="X1116" s="114"/>
    </row>
    <row r="1117" spans="2:24" ht="17.7" hidden="1" customHeight="1">
      <c r="B1117" s="39" t="s">
        <v>26</v>
      </c>
      <c r="C1117" s="39" t="s">
        <v>26</v>
      </c>
      <c r="D1117" s="20" t="s">
        <v>400</v>
      </c>
      <c r="E1117" s="391" t="s">
        <v>38</v>
      </c>
      <c r="F1117" s="20" t="s">
        <v>369</v>
      </c>
      <c r="G1117" s="20" t="s">
        <v>436</v>
      </c>
      <c r="H1117" s="59" t="str">
        <f>Table1[[#This Row],[Tabela]]&amp;Table1[[#This Row],[Campo]]</f>
        <v>lt004_protectionrl_estt_pst_cd</v>
      </c>
      <c r="I1117" s="2" t="s">
        <v>613</v>
      </c>
      <c r="J1117" s="45">
        <f>VLOOKUP(Table1[[#This Row],[Status]],Auxiliar!$B$16:$C$24,2,0)</f>
        <v>1</v>
      </c>
      <c r="K1117" s="44" t="s">
        <v>1251</v>
      </c>
      <c r="L1117" s="46" t="s">
        <v>1252</v>
      </c>
      <c r="M1117" s="21" t="s">
        <v>1253</v>
      </c>
      <c r="N1117" s="48">
        <v>45632</v>
      </c>
      <c r="O1117" s="113">
        <v>0.1</v>
      </c>
      <c r="P1117" s="2"/>
      <c r="Q1117" s="396"/>
      <c r="R1117" s="152">
        <v>45589</v>
      </c>
      <c r="S1117" s="152"/>
      <c r="T1117" s="152">
        <v>45589</v>
      </c>
      <c r="U1117" s="152">
        <v>45611</v>
      </c>
      <c r="V1117" s="152">
        <v>45611</v>
      </c>
      <c r="W1117" s="2">
        <f>VLOOKUP(Table1[[#This Row],[Status]],Auxiliar!$B$16:$D$24,3,0)*Table1[[#This Row],[Estimação (horas)]]</f>
        <v>0.1</v>
      </c>
      <c r="X1117" s="205"/>
    </row>
    <row r="1118" spans="2:24" ht="17.7" hidden="1" customHeight="1">
      <c r="B1118" s="39" t="s">
        <v>26</v>
      </c>
      <c r="C1118" s="39" t="s">
        <v>26</v>
      </c>
      <c r="D1118" s="20" t="s">
        <v>400</v>
      </c>
      <c r="E1118" s="391" t="s">
        <v>38</v>
      </c>
      <c r="F1118" s="20" t="s">
        <v>369</v>
      </c>
      <c r="G1118" s="20" t="s">
        <v>435</v>
      </c>
      <c r="H1118" s="59" t="str">
        <f>Table1[[#This Row],[Tabela]]&amp;Table1[[#This Row],[Campo]]</f>
        <v>lt004_protectionrl_estt_clltrl_lctn</v>
      </c>
      <c r="I1118" s="2" t="s">
        <v>613</v>
      </c>
      <c r="J1118" s="45">
        <f>VLOOKUP(Table1[[#This Row],[Status]],Auxiliar!$B$16:$C$24,2,0)</f>
        <v>1</v>
      </c>
      <c r="K1118" s="44" t="s">
        <v>1251</v>
      </c>
      <c r="L1118" s="46" t="s">
        <v>1252</v>
      </c>
      <c r="M1118" s="21" t="s">
        <v>1253</v>
      </c>
      <c r="N1118" s="48">
        <v>45632</v>
      </c>
      <c r="O1118" s="113">
        <v>0.1</v>
      </c>
      <c r="P1118" s="2"/>
      <c r="Q1118" s="396"/>
      <c r="R1118" s="152">
        <v>45589</v>
      </c>
      <c r="S1118" s="152"/>
      <c r="T1118" s="152">
        <v>45589</v>
      </c>
      <c r="U1118" s="152">
        <v>45611</v>
      </c>
      <c r="V1118" s="152">
        <v>45611</v>
      </c>
      <c r="W1118" s="2">
        <f>VLOOKUP(Table1[[#This Row],[Status]],Auxiliar!$B$16:$D$24,3,0)*Table1[[#This Row],[Estimação (horas)]]</f>
        <v>0.1</v>
      </c>
      <c r="X1118" s="205"/>
    </row>
    <row r="1119" spans="2:24" ht="17.7" hidden="1" customHeight="1">
      <c r="B1119" s="41" t="s">
        <v>26</v>
      </c>
      <c r="C1119" s="41" t="s">
        <v>26</v>
      </c>
      <c r="D1119" s="2" t="s">
        <v>400</v>
      </c>
      <c r="E1119" s="40" t="s">
        <v>38</v>
      </c>
      <c r="F1119" s="2" t="s">
        <v>369</v>
      </c>
      <c r="G1119" s="2" t="s">
        <v>439</v>
      </c>
      <c r="H1119" s="57" t="str">
        <f>Table1[[#This Row],[Tabela]]&amp;Table1[[#This Row],[Campo]]</f>
        <v>lt004_protectionprtctn_vl</v>
      </c>
      <c r="I1119" s="2" t="s">
        <v>613</v>
      </c>
      <c r="J1119" s="45">
        <f>VLOOKUP(Table1[[#This Row],[Status]],Auxiliar!$B$16:$C$24,2,0)</f>
        <v>1</v>
      </c>
      <c r="K1119" s="44" t="s">
        <v>1251</v>
      </c>
      <c r="L1119" s="46" t="s">
        <v>1252</v>
      </c>
      <c r="M1119" s="21" t="s">
        <v>1253</v>
      </c>
      <c r="N1119" s="48">
        <v>45667</v>
      </c>
      <c r="O1119" s="113">
        <v>0.1</v>
      </c>
      <c r="P1119" s="2"/>
      <c r="Q1119" s="396"/>
      <c r="R1119" s="152">
        <v>45589</v>
      </c>
      <c r="S1119" s="152"/>
      <c r="T1119" s="152">
        <v>45589</v>
      </c>
      <c r="U1119" s="152">
        <v>45624</v>
      </c>
      <c r="V1119" s="152">
        <v>45624</v>
      </c>
      <c r="W1119" s="2">
        <f>VLOOKUP(Table1[[#This Row],[Status]],Auxiliar!$B$16:$D$24,3,0)*Table1[[#This Row],[Estimação (horas)]]</f>
        <v>0.1</v>
      </c>
      <c r="X1119" s="205"/>
    </row>
    <row r="1120" spans="2:24" ht="17.7" hidden="1" customHeight="1">
      <c r="B1120" s="39" t="s">
        <v>26</v>
      </c>
      <c r="C1120" s="39" t="s">
        <v>26</v>
      </c>
      <c r="D1120" s="20" t="s">
        <v>400</v>
      </c>
      <c r="E1120" s="391" t="s">
        <v>38</v>
      </c>
      <c r="F1120" s="20" t="s">
        <v>369</v>
      </c>
      <c r="G1120" s="20" t="s">
        <v>434</v>
      </c>
      <c r="H1120" s="59" t="str">
        <f>Table1[[#This Row],[Tabela]]&amp;Table1[[#This Row],[Campo]]</f>
        <v>lt004_protectionprtctn_id</v>
      </c>
      <c r="I1120" s="2" t="s">
        <v>613</v>
      </c>
      <c r="J1120" s="45">
        <f>VLOOKUP(Table1[[#This Row],[Status]],Auxiliar!$B$16:$C$24,2,0)</f>
        <v>1</v>
      </c>
      <c r="K1120" s="44" t="s">
        <v>1251</v>
      </c>
      <c r="L1120" s="46" t="s">
        <v>1252</v>
      </c>
      <c r="M1120" s="21" t="s">
        <v>1253</v>
      </c>
      <c r="N1120" s="48">
        <v>45642</v>
      </c>
      <c r="O1120" s="113">
        <v>0.1</v>
      </c>
      <c r="P1120" s="2"/>
      <c r="Q1120" s="396"/>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1" t="s">
        <v>38</v>
      </c>
      <c r="F1121" s="20" t="s">
        <v>369</v>
      </c>
      <c r="G1121" s="20" t="s">
        <v>438</v>
      </c>
      <c r="H1121" s="59" t="str">
        <f>Table1[[#This Row],[Tabela]]&amp;Table1[[#This Row],[Campo]]</f>
        <v>lt004_protectionorgnl_prtctn_vl</v>
      </c>
      <c r="I1121" s="2" t="s">
        <v>616</v>
      </c>
      <c r="J1121" s="45">
        <f>VLOOKUP(Table1[[#This Row],[Status]],Auxiliar!$B$16:$C$24,2,0)</f>
        <v>6</v>
      </c>
      <c r="K1121" s="44" t="s">
        <v>1251</v>
      </c>
      <c r="L1121" s="46" t="s">
        <v>1252</v>
      </c>
      <c r="M1121" s="21" t="s">
        <v>1253</v>
      </c>
      <c r="N1121" s="48">
        <v>45649</v>
      </c>
      <c r="O1121" s="253">
        <v>0.1</v>
      </c>
      <c r="P1121" s="2" t="s">
        <v>2004</v>
      </c>
      <c r="Q1121" s="396"/>
      <c r="R1121" s="152">
        <v>45595</v>
      </c>
      <c r="S1121" s="152"/>
      <c r="T1121" s="152">
        <v>45595</v>
      </c>
      <c r="U1121" s="152">
        <v>45611</v>
      </c>
      <c r="V1121" s="152">
        <v>45611</v>
      </c>
      <c r="W1121" s="2">
        <f>VLOOKUP(Table1[[#This Row],[Status]],Auxiliar!$B$16:$D$24,3,0)*Table1[[#This Row],[Estimação (horas)]]</f>
        <v>2.5000000000000001E-2</v>
      </c>
      <c r="X1121" s="205"/>
    </row>
    <row r="1122" spans="2:24" ht="52.2" hidden="1" customHeight="1">
      <c r="B1122" s="41" t="s">
        <v>26</v>
      </c>
      <c r="C1122" s="41" t="s">
        <v>26</v>
      </c>
      <c r="D1122" s="37" t="s">
        <v>1349</v>
      </c>
      <c r="E1122" s="42" t="s">
        <v>1331</v>
      </c>
      <c r="F1122" s="40" t="s">
        <v>369</v>
      </c>
      <c r="G1122" s="38" t="s">
        <v>379</v>
      </c>
      <c r="H1122" s="60" t="str">
        <f>Table1[[#This Row],[Tabela]]&amp;Table1[[#This Row],[Campo]]</f>
        <v>lt004_protectionmthd_usd_prtctn_scp_3</v>
      </c>
      <c r="I1122" s="2" t="s">
        <v>613</v>
      </c>
      <c r="J1122" s="45">
        <f>VLOOKUP(Table1[[#This Row],[Status]],Auxiliar!$B$16:$C$24,2,0)</f>
        <v>1</v>
      </c>
      <c r="K1122" s="45" t="s">
        <v>1246</v>
      </c>
      <c r="L1122" s="46" t="s">
        <v>1252</v>
      </c>
      <c r="M1122" s="21" t="s">
        <v>1253</v>
      </c>
      <c r="N1122" s="48">
        <v>45667</v>
      </c>
      <c r="O1122" s="21">
        <f>INDEX(Auxiliar!$D$5:$F$13,MATCH(Table1[[#This Row],[Tipologia_Testes]],Auxiliar!$B$5:$B$13,0),MATCH(Table1[[#This Row],[Complexidade]],Auxiliar!$D$4:$F$4,0))</f>
        <v>2</v>
      </c>
      <c r="P1122" s="43" t="s">
        <v>1350</v>
      </c>
      <c r="Q1122" s="396"/>
      <c r="R1122" s="152">
        <v>45622</v>
      </c>
      <c r="S1122" s="152"/>
      <c r="T1122" s="152"/>
      <c r="U1122" s="152">
        <v>45631</v>
      </c>
      <c r="V1122" s="152">
        <v>45631</v>
      </c>
      <c r="W1122" s="2">
        <f>VLOOKUP(Table1[[#This Row],[Status]],Auxiliar!$B$16:$D$24,3,0)*Table1[[#This Row],[Estimação (horas)]]</f>
        <v>2</v>
      </c>
      <c r="X1122" s="114"/>
    </row>
    <row r="1123" spans="2:24" ht="17.7" hidden="1" customHeight="1">
      <c r="B1123" s="39" t="s">
        <v>26</v>
      </c>
      <c r="C1123" s="39" t="s">
        <v>26</v>
      </c>
      <c r="D1123" s="39" t="s">
        <v>1349</v>
      </c>
      <c r="E1123" s="39" t="s">
        <v>1331</v>
      </c>
      <c r="F1123" s="39" t="s">
        <v>369</v>
      </c>
      <c r="G1123" s="39" t="s">
        <v>379</v>
      </c>
      <c r="H1123" s="59" t="str">
        <f>Table1[[#This Row],[Tabela]]&amp;Table1[[#This Row],[Campo]]</f>
        <v>lt004_protectionmthd_usd_prtctn_scp_3</v>
      </c>
      <c r="I1123" s="2" t="s">
        <v>613</v>
      </c>
      <c r="J1123" s="45">
        <f>VLOOKUP(Table1[[#This Row],[Status]],Auxiliar!$B$16:$C$24,2,0)</f>
        <v>1</v>
      </c>
      <c r="K1123" s="45" t="s">
        <v>1247</v>
      </c>
      <c r="L1123" s="46" t="s">
        <v>1252</v>
      </c>
      <c r="M1123" s="21" t="s">
        <v>1253</v>
      </c>
      <c r="N1123" s="48">
        <v>45667</v>
      </c>
      <c r="O1123" s="21">
        <f>INDEX(Auxiliar!$D$5:$F$13,MATCH(Table1[[#This Row],[Tipologia_Testes]],Auxiliar!$B$5:$B$13,0),MATCH(Table1[[#This Row],[Complexidade]],Auxiliar!$D$4:$F$4,0))</f>
        <v>2</v>
      </c>
      <c r="P1123" s="43" t="s">
        <v>1350</v>
      </c>
      <c r="Q1123" s="396"/>
      <c r="R1123" s="152">
        <v>45622</v>
      </c>
      <c r="S1123" s="152"/>
      <c r="T1123" s="152"/>
      <c r="U1123" s="152">
        <v>45631</v>
      </c>
      <c r="V1123" s="152">
        <v>45631</v>
      </c>
      <c r="W1123" s="2">
        <f>VLOOKUP(Table1[[#This Row],[Status]],Auxiliar!$B$16:$D$24,3,0)*Table1[[#This Row],[Estimação (horas)]]</f>
        <v>2</v>
      </c>
      <c r="X1123" s="114"/>
    </row>
    <row r="1124" spans="2:24" ht="17.7" hidden="1" customHeight="1">
      <c r="B1124" s="39" t="s">
        <v>26</v>
      </c>
      <c r="C1124" s="39" t="s">
        <v>26</v>
      </c>
      <c r="D1124" s="39" t="s">
        <v>1349</v>
      </c>
      <c r="E1124" s="39" t="s">
        <v>1331</v>
      </c>
      <c r="F1124" s="39" t="s">
        <v>369</v>
      </c>
      <c r="G1124" s="39" t="s">
        <v>379</v>
      </c>
      <c r="H1124" s="59" t="str">
        <f>Table1[[#This Row],[Tabela]]&amp;Table1[[#This Row],[Campo]]</f>
        <v>lt004_protectionmthd_usd_prtctn_scp_3</v>
      </c>
      <c r="I1124" s="2" t="s">
        <v>613</v>
      </c>
      <c r="J1124" s="45">
        <f>VLOOKUP(Table1[[#This Row],[Status]],Auxiliar!$B$16:$C$24,2,0)</f>
        <v>1</v>
      </c>
      <c r="K1124" s="45" t="s">
        <v>1249</v>
      </c>
      <c r="L1124" s="46" t="s">
        <v>1252</v>
      </c>
      <c r="M1124" s="21" t="s">
        <v>1253</v>
      </c>
      <c r="N1124" s="48">
        <v>45667</v>
      </c>
      <c r="O1124" s="21">
        <f>INDEX(Auxiliar!$D$5:$F$13,MATCH(Table1[[#This Row],[Tipologia_Testes]],Auxiliar!$B$5:$B$13,0),MATCH(Table1[[#This Row],[Complexidade]],Auxiliar!$D$4:$F$4,0))</f>
        <v>0.1</v>
      </c>
      <c r="P1124" s="43" t="s">
        <v>1350</v>
      </c>
      <c r="Q1124" s="396"/>
      <c r="R1124" s="152">
        <v>45622</v>
      </c>
      <c r="S1124" s="152"/>
      <c r="T1124" s="152"/>
      <c r="U1124" s="152">
        <v>45631</v>
      </c>
      <c r="V1124" s="152">
        <v>45631</v>
      </c>
      <c r="W1124" s="2">
        <f>VLOOKUP(Table1[[#This Row],[Status]],Auxiliar!$B$16:$D$24,3,0)*Table1[[#This Row],[Estimação (horas)]]</f>
        <v>0.1</v>
      </c>
      <c r="X1124" s="114"/>
    </row>
    <row r="1125" spans="2:24" ht="52.2" hidden="1" customHeight="1">
      <c r="B1125" s="41" t="s">
        <v>26</v>
      </c>
      <c r="C1125" s="41" t="s">
        <v>26</v>
      </c>
      <c r="D1125" s="37" t="s">
        <v>1349</v>
      </c>
      <c r="E1125" s="42" t="s">
        <v>1331</v>
      </c>
      <c r="F1125" s="40" t="s">
        <v>369</v>
      </c>
      <c r="G1125" s="38" t="s">
        <v>378</v>
      </c>
      <c r="H1125" s="60" t="str">
        <f>Table1[[#This Row],[Tabela]]&amp;Table1[[#This Row],[Campo]]</f>
        <v>lt004_protectionmthd_usd_prtctn_scp_2</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152"/>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378</v>
      </c>
      <c r="H1126" s="59" t="str">
        <f>Table1[[#This Row],[Tabela]]&amp;Table1[[#This Row],[Campo]]</f>
        <v>lt004_protectionmthd_usd_prtctn_scp_2</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152"/>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378</v>
      </c>
      <c r="H1127" s="59" t="str">
        <f>Table1[[#This Row],[Tabela]]&amp;Table1[[#This Row],[Campo]]</f>
        <v>lt004_protectionmthd_usd_prtctn_scp_2</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152"/>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377</v>
      </c>
      <c r="H1128" s="60" t="str">
        <f>Table1[[#This Row],[Tabela]]&amp;Table1[[#This Row],[Campo]]</f>
        <v>lt004_protectionmthd_usd_prtctn_scp_1</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377</v>
      </c>
      <c r="H1129" s="59" t="str">
        <f>Table1[[#This Row],[Tabela]]&amp;Table1[[#This Row],[Campo]]</f>
        <v>lt004_protectionmthd_usd_prtctn_scp_1</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377</v>
      </c>
      <c r="H1130" s="59" t="str">
        <f>Table1[[#This Row],[Tabela]]&amp;Table1[[#This Row],[Campo]]</f>
        <v>lt004_protectionmthd_usd_prtctn_scp_1</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17.7" hidden="1" customHeight="1">
      <c r="B1131" s="41" t="s">
        <v>26</v>
      </c>
      <c r="C1131" s="41" t="s">
        <v>26</v>
      </c>
      <c r="D1131" s="37" t="s">
        <v>478</v>
      </c>
      <c r="E1131" s="40" t="s">
        <v>482</v>
      </c>
      <c r="F1131" s="40" t="s">
        <v>369</v>
      </c>
      <c r="G1131" s="38" t="s">
        <v>482</v>
      </c>
      <c r="H1131" s="60" t="str">
        <f>Table1[[#This Row],[Tabela]]&amp;Table1[[#This Row],[Campo]]</f>
        <v>lt004_protectionflg_pro</v>
      </c>
      <c r="I1131" s="2" t="s">
        <v>613</v>
      </c>
      <c r="J1131" s="45">
        <f>VLOOKUP(Table1[[#This Row],[Status]],Auxiliar!$B$16:$C$24,2,0)</f>
        <v>1</v>
      </c>
      <c r="K1131" s="45" t="s">
        <v>1246</v>
      </c>
      <c r="L1131" s="46" t="s">
        <v>1252</v>
      </c>
      <c r="M1131" s="21" t="s">
        <v>1253</v>
      </c>
      <c r="N1131" s="48">
        <v>45649</v>
      </c>
      <c r="O1131" s="21">
        <f>INDEX(Auxiliar!$D$5:$F$13,MATCH(Table1[[#This Row],[Tipologia_Testes]],Auxiliar!$B$5:$B$13,0),MATCH(Table1[[#This Row],[Complexidade]],Auxiliar!$D$4:$F$4,0))</f>
        <v>2</v>
      </c>
      <c r="P1131" s="43"/>
      <c r="Q1131" s="152"/>
      <c r="R1131" s="152">
        <v>45593</v>
      </c>
      <c r="S1131" s="152"/>
      <c r="T1131" s="152">
        <v>45593</v>
      </c>
      <c r="U1131" s="152">
        <v>45624</v>
      </c>
      <c r="V1131" s="152">
        <v>45624</v>
      </c>
      <c r="W1131" s="2">
        <f>VLOOKUP(Table1[[#This Row],[Status]],Auxiliar!$B$16:$D$24,3,0)*Table1[[#This Row],[Estimação (horas)]]</f>
        <v>2</v>
      </c>
      <c r="X1131" s="114"/>
    </row>
    <row r="1132" spans="2:24" ht="17.7" hidden="1" customHeight="1">
      <c r="B1132" s="39" t="s">
        <v>26</v>
      </c>
      <c r="C1132" s="39" t="s">
        <v>26</v>
      </c>
      <c r="D1132" s="39" t="s">
        <v>478</v>
      </c>
      <c r="E1132" s="39" t="s">
        <v>482</v>
      </c>
      <c r="F1132" s="39" t="s">
        <v>369</v>
      </c>
      <c r="G1132" s="39" t="s">
        <v>482</v>
      </c>
      <c r="H1132" s="59" t="str">
        <f>Table1[[#This Row],[Tabela]]&amp;Table1[[#This Row],[Campo]]</f>
        <v>lt004_protectionflg_pro</v>
      </c>
      <c r="I1132" s="2" t="s">
        <v>613</v>
      </c>
      <c r="J1132" s="45">
        <f>VLOOKUP(Table1[[#This Row],[Status]],Auxiliar!$B$16:$C$24,2,0)</f>
        <v>1</v>
      </c>
      <c r="K1132" s="45" t="s">
        <v>1247</v>
      </c>
      <c r="L1132" s="46" t="s">
        <v>1252</v>
      </c>
      <c r="M1132" s="21" t="s">
        <v>1253</v>
      </c>
      <c r="N1132" s="48">
        <v>45649</v>
      </c>
      <c r="O1132" s="21">
        <f>INDEX(Auxiliar!$D$5:$F$13,MATCH(Table1[[#This Row],[Tipologia_Testes]],Auxiliar!$B$5:$B$13,0),MATCH(Table1[[#This Row],[Complexidade]],Auxiliar!$D$4:$F$4,0))</f>
        <v>2</v>
      </c>
      <c r="P1132" s="43"/>
      <c r="Q1132" s="152"/>
      <c r="R1132" s="152">
        <v>45593</v>
      </c>
      <c r="S1132" s="152"/>
      <c r="T1132" s="152">
        <v>45593</v>
      </c>
      <c r="U1132" s="152">
        <v>45624</v>
      </c>
      <c r="V1132" s="152">
        <v>45624</v>
      </c>
      <c r="W1132" s="2">
        <f>VLOOKUP(Table1[[#This Row],[Status]],Auxiliar!$B$16:$D$24,3,0)*Table1[[#This Row],[Estimação (horas)]]</f>
        <v>2</v>
      </c>
      <c r="X1132" s="114"/>
    </row>
    <row r="1133" spans="2:24" ht="17.7" hidden="1" customHeight="1">
      <c r="B1133" s="39" t="s">
        <v>26</v>
      </c>
      <c r="C1133" s="39" t="s">
        <v>26</v>
      </c>
      <c r="D1133" s="39" t="s">
        <v>478</v>
      </c>
      <c r="E1133" s="39" t="s">
        <v>482</v>
      </c>
      <c r="F1133" s="39" t="s">
        <v>369</v>
      </c>
      <c r="G1133" s="39" t="s">
        <v>482</v>
      </c>
      <c r="H1133" s="59" t="str">
        <f>Table1[[#This Row],[Tabela]]&amp;Table1[[#This Row],[Campo]]</f>
        <v>lt004_protectionflg_pro</v>
      </c>
      <c r="I1133" s="2" t="s">
        <v>613</v>
      </c>
      <c r="J1133" s="45">
        <f>VLOOKUP(Table1[[#This Row],[Status]],Auxiliar!$B$16:$C$24,2,0)</f>
        <v>1</v>
      </c>
      <c r="K1133" s="45" t="s">
        <v>1249</v>
      </c>
      <c r="L1133" s="46" t="s">
        <v>1252</v>
      </c>
      <c r="M1133" s="21" t="s">
        <v>1253</v>
      </c>
      <c r="N1133" s="48">
        <v>45649</v>
      </c>
      <c r="O1133" s="21">
        <f>INDEX(Auxiliar!$D$5:$F$13,MATCH(Table1[[#This Row],[Tipologia_Testes]],Auxiliar!$B$5:$B$13,0),MATCH(Table1[[#This Row],[Complexidade]],Auxiliar!$D$4:$F$4,0))</f>
        <v>0.1</v>
      </c>
      <c r="P1133" s="43"/>
      <c r="Q1133" s="152"/>
      <c r="R1133" s="152">
        <v>45593</v>
      </c>
      <c r="S1133" s="152"/>
      <c r="T1133" s="152">
        <v>45593</v>
      </c>
      <c r="U1133" s="152">
        <v>45624</v>
      </c>
      <c r="V1133" s="152">
        <v>45624</v>
      </c>
      <c r="W1133" s="2">
        <f>VLOOKUP(Table1[[#This Row],[Status]],Auxiliar!$B$16:$D$24,3,0)*Table1[[#This Row],[Estimação (horas)]]</f>
        <v>0.1</v>
      </c>
      <c r="X1133" s="114"/>
    </row>
    <row r="1134" spans="2:24" ht="17.7" hidden="1" customHeight="1">
      <c r="B1134" s="41" t="s">
        <v>26</v>
      </c>
      <c r="C1134" s="41" t="s">
        <v>26</v>
      </c>
      <c r="D1134" s="37" t="s">
        <v>478</v>
      </c>
      <c r="E1134" s="42" t="s">
        <v>481</v>
      </c>
      <c r="F1134" s="40" t="s">
        <v>369</v>
      </c>
      <c r="G1134" s="38" t="s">
        <v>481</v>
      </c>
      <c r="H1134" s="60" t="str">
        <f>Table1[[#This Row],[Tabela]]&amp;Table1[[#This Row],[Campo]]</f>
        <v>lt004_protectionflg_fin</v>
      </c>
      <c r="I1134" s="2" t="s">
        <v>613</v>
      </c>
      <c r="J1134" s="45">
        <f>VLOOKUP(Table1[[#This Row],[Status]],Auxiliar!$B$16:$C$24,2,0)</f>
        <v>1</v>
      </c>
      <c r="K1134" s="45" t="s">
        <v>1246</v>
      </c>
      <c r="L1134" s="46" t="s">
        <v>1252</v>
      </c>
      <c r="M1134" s="21" t="s">
        <v>1253</v>
      </c>
      <c r="N1134" s="48">
        <v>45649</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2</v>
      </c>
      <c r="X1134" s="114"/>
    </row>
    <row r="1135" spans="2:24" ht="17.7" hidden="1" customHeight="1">
      <c r="B1135" s="39" t="s">
        <v>26</v>
      </c>
      <c r="C1135" s="39" t="s">
        <v>26</v>
      </c>
      <c r="D1135" s="39" t="s">
        <v>478</v>
      </c>
      <c r="E1135" s="39" t="s">
        <v>481</v>
      </c>
      <c r="F1135" s="39" t="s">
        <v>369</v>
      </c>
      <c r="G1135" s="39" t="s">
        <v>481</v>
      </c>
      <c r="H1135" s="59" t="str">
        <f>Table1[[#This Row],[Tabela]]&amp;Table1[[#This Row],[Campo]]</f>
        <v>lt004_protectionflg_fin</v>
      </c>
      <c r="I1135" s="2" t="s">
        <v>613</v>
      </c>
      <c r="J1135" s="45">
        <f>VLOOKUP(Table1[[#This Row],[Status]],Auxiliar!$B$16:$C$24,2,0)</f>
        <v>1</v>
      </c>
      <c r="K1135" s="45" t="s">
        <v>1247</v>
      </c>
      <c r="L1135" s="46" t="s">
        <v>1252</v>
      </c>
      <c r="M1135" s="21" t="s">
        <v>1253</v>
      </c>
      <c r="N1135" s="48">
        <v>45649</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2</v>
      </c>
      <c r="X1135" s="114"/>
    </row>
    <row r="1136" spans="2:24" ht="17.7" hidden="1" customHeight="1">
      <c r="B1136" s="39" t="s">
        <v>26</v>
      </c>
      <c r="C1136" s="39" t="s">
        <v>26</v>
      </c>
      <c r="D1136" s="39" t="s">
        <v>478</v>
      </c>
      <c r="E1136" s="39" t="s">
        <v>481</v>
      </c>
      <c r="F1136" s="39" t="s">
        <v>369</v>
      </c>
      <c r="G1136" s="39" t="s">
        <v>481</v>
      </c>
      <c r="H1136" s="59" t="str">
        <f>Table1[[#This Row],[Tabela]]&amp;Table1[[#This Row],[Campo]]</f>
        <v>lt004_protectionflg_fin</v>
      </c>
      <c r="I1136" s="2" t="s">
        <v>613</v>
      </c>
      <c r="J1136" s="45">
        <f>VLOOKUP(Table1[[#This Row],[Status]],Auxiliar!$B$16:$C$24,2,0)</f>
        <v>1</v>
      </c>
      <c r="K1136" s="45" t="s">
        <v>1249</v>
      </c>
      <c r="L1136" s="46" t="s">
        <v>1252</v>
      </c>
      <c r="M1136" s="21" t="s">
        <v>1253</v>
      </c>
      <c r="N1136" s="48">
        <v>45649</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0.1</v>
      </c>
      <c r="X1136" s="114"/>
    </row>
    <row r="1137" spans="2:24" ht="17.7" hidden="1" customHeight="1">
      <c r="B1137" s="41" t="s">
        <v>26</v>
      </c>
      <c r="C1137" s="41" t="s">
        <v>26</v>
      </c>
      <c r="D1137" s="37" t="s">
        <v>478</v>
      </c>
      <c r="E1137" s="42" t="s">
        <v>479</v>
      </c>
      <c r="F1137" s="40" t="s">
        <v>369</v>
      </c>
      <c r="G1137" s="38" t="s">
        <v>1355</v>
      </c>
      <c r="H1137" s="60" t="str">
        <f>Table1[[#This Row],[Tabela]]&amp;Table1[[#This Row],[Campo]]</f>
        <v>lt004_protectionflg_exec</v>
      </c>
      <c r="I1137" s="2" t="s">
        <v>613</v>
      </c>
      <c r="J1137" s="45">
        <f>VLOOKUP(Table1[[#This Row],[Status]],Auxiliar!$B$16:$C$24,2,0)</f>
        <v>1</v>
      </c>
      <c r="K1137" s="45" t="s">
        <v>1246</v>
      </c>
      <c r="L1137" s="46" t="s">
        <v>1252</v>
      </c>
      <c r="M1137" s="21" t="s">
        <v>1253</v>
      </c>
      <c r="N1137" s="48">
        <v>45649</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2</v>
      </c>
      <c r="X1137" s="114"/>
    </row>
    <row r="1138" spans="2:24" ht="17.7" hidden="1" customHeight="1">
      <c r="B1138" s="39" t="s">
        <v>26</v>
      </c>
      <c r="C1138" s="39" t="s">
        <v>26</v>
      </c>
      <c r="D1138" s="39" t="s">
        <v>478</v>
      </c>
      <c r="E1138" s="39" t="s">
        <v>479</v>
      </c>
      <c r="F1138" s="39" t="s">
        <v>369</v>
      </c>
      <c r="G1138" s="39" t="s">
        <v>1355</v>
      </c>
      <c r="H1138" s="59" t="str">
        <f>Table1[[#This Row],[Tabela]]&amp;Table1[[#This Row],[Campo]]</f>
        <v>lt004_protectionflg_exec</v>
      </c>
      <c r="I1138" s="2" t="s">
        <v>613</v>
      </c>
      <c r="J1138" s="45">
        <f>VLOOKUP(Table1[[#This Row],[Status]],Auxiliar!$B$16:$C$24,2,0)</f>
        <v>1</v>
      </c>
      <c r="K1138" s="45" t="s">
        <v>1247</v>
      </c>
      <c r="L1138" s="46" t="s">
        <v>1252</v>
      </c>
      <c r="M1138" s="21" t="s">
        <v>1253</v>
      </c>
      <c r="N1138" s="48">
        <v>45649</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2</v>
      </c>
      <c r="X1138" s="114"/>
    </row>
    <row r="1139" spans="2:24" ht="17.7" hidden="1" customHeight="1">
      <c r="B1139" s="39" t="s">
        <v>26</v>
      </c>
      <c r="C1139" s="39" t="s">
        <v>26</v>
      </c>
      <c r="D1139" s="39" t="s">
        <v>478</v>
      </c>
      <c r="E1139" s="39" t="s">
        <v>479</v>
      </c>
      <c r="F1139" s="39" t="s">
        <v>369</v>
      </c>
      <c r="G1139" s="39" t="s">
        <v>1355</v>
      </c>
      <c r="H1139" s="59" t="str">
        <f>Table1[[#This Row],[Tabela]]&amp;Table1[[#This Row],[Campo]]</f>
        <v>lt004_protectionflg_exec</v>
      </c>
      <c r="I1139" s="2" t="s">
        <v>613</v>
      </c>
      <c r="J1139" s="45">
        <f>VLOOKUP(Table1[[#This Row],[Status]],Auxiliar!$B$16:$C$24,2,0)</f>
        <v>1</v>
      </c>
      <c r="K1139" s="45" t="s">
        <v>1249</v>
      </c>
      <c r="L1139" s="46" t="s">
        <v>1252</v>
      </c>
      <c r="M1139" s="21" t="s">
        <v>1253</v>
      </c>
      <c r="N1139" s="48">
        <v>45649</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0.1</v>
      </c>
      <c r="X1139" s="114"/>
    </row>
    <row r="1140" spans="2:24" ht="34.950000000000003" hidden="1" customHeight="1">
      <c r="B1140" s="41" t="s">
        <v>26</v>
      </c>
      <c r="C1140" s="41" t="s">
        <v>26</v>
      </c>
      <c r="D1140" s="37" t="s">
        <v>478</v>
      </c>
      <c r="E1140" s="40" t="s">
        <v>480</v>
      </c>
      <c r="F1140" s="40" t="s">
        <v>369</v>
      </c>
      <c r="G1140" s="38" t="s">
        <v>480</v>
      </c>
      <c r="H1140" s="60" t="str">
        <f>Table1[[#This Row],[Tabela]]&amp;Table1[[#This Row],[Campo]]</f>
        <v>lt004_protectionflg_col</v>
      </c>
      <c r="I1140" s="2" t="s">
        <v>613</v>
      </c>
      <c r="J1140" s="45">
        <f>VLOOKUP(Table1[[#This Row],[Status]],Auxiliar!$B$16:$C$24,2,0)</f>
        <v>1</v>
      </c>
      <c r="K1140" s="45" t="s">
        <v>1246</v>
      </c>
      <c r="L1140" s="46" t="s">
        <v>1252</v>
      </c>
      <c r="M1140" s="21" t="s">
        <v>1253</v>
      </c>
      <c r="N1140" s="48">
        <v>45667</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2</v>
      </c>
      <c r="X1140" s="114"/>
    </row>
    <row r="1141" spans="2:24" ht="17.7" hidden="1" customHeight="1">
      <c r="B1141" s="39" t="s">
        <v>26</v>
      </c>
      <c r="C1141" s="39" t="s">
        <v>26</v>
      </c>
      <c r="D1141" s="39" t="s">
        <v>478</v>
      </c>
      <c r="E1141" s="39" t="s">
        <v>480</v>
      </c>
      <c r="F1141" s="39" t="s">
        <v>369</v>
      </c>
      <c r="G1141" s="39" t="s">
        <v>480</v>
      </c>
      <c r="H1141" s="59" t="str">
        <f>Table1[[#This Row],[Tabela]]&amp;Table1[[#This Row],[Campo]]</f>
        <v>lt004_protectionflg_col</v>
      </c>
      <c r="I1141" s="2" t="s">
        <v>613</v>
      </c>
      <c r="J1141" s="45">
        <f>VLOOKUP(Table1[[#This Row],[Status]],Auxiliar!$B$16:$C$24,2,0)</f>
        <v>1</v>
      </c>
      <c r="K1141" s="45" t="s">
        <v>1247</v>
      </c>
      <c r="L1141" s="46" t="s">
        <v>1252</v>
      </c>
      <c r="M1141" s="21" t="s">
        <v>1253</v>
      </c>
      <c r="N1141" s="48">
        <v>45667</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2</v>
      </c>
      <c r="X1141" s="114"/>
    </row>
    <row r="1142" spans="2:24" ht="17.7" hidden="1" customHeight="1">
      <c r="B1142" s="39" t="s">
        <v>26</v>
      </c>
      <c r="C1142" s="39" t="s">
        <v>26</v>
      </c>
      <c r="D1142" s="39" t="s">
        <v>478</v>
      </c>
      <c r="E1142" s="39" t="s">
        <v>480</v>
      </c>
      <c r="F1142" s="39" t="s">
        <v>369</v>
      </c>
      <c r="G1142" s="39" t="s">
        <v>480</v>
      </c>
      <c r="H1142" s="59" t="str">
        <f>Table1[[#This Row],[Tabela]]&amp;Table1[[#This Row],[Campo]]</f>
        <v>lt004_protectionflg_col</v>
      </c>
      <c r="I1142" s="2" t="s">
        <v>613</v>
      </c>
      <c r="J1142" s="45">
        <f>VLOOKUP(Table1[[#This Row],[Status]],Auxiliar!$B$16:$C$24,2,0)</f>
        <v>1</v>
      </c>
      <c r="K1142" s="45" t="s">
        <v>1249</v>
      </c>
      <c r="L1142" s="46" t="s">
        <v>1252</v>
      </c>
      <c r="M1142" s="21" t="s">
        <v>1253</v>
      </c>
      <c r="N1142" s="48">
        <v>45667</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1246</v>
      </c>
      <c r="L1143" s="46" t="s">
        <v>1252</v>
      </c>
      <c r="M1143" s="21" t="s">
        <v>1253</v>
      </c>
      <c r="N1143" s="48">
        <v>45632</v>
      </c>
      <c r="O1143" s="21">
        <f>INDEX(Auxiliar!$D$5:$F$13,MATCH(Table1[[#This Row],[Tipologia_Testes]],Auxiliar!$B$5:$B$13,0),MATCH(Table1[[#This Row],[Complexidade]],Auxiliar!$D$4:$F$4,0))</f>
        <v>2</v>
      </c>
      <c r="P1143" s="43" t="s">
        <v>1338</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1247</v>
      </c>
      <c r="L1144" s="46" t="s">
        <v>1252</v>
      </c>
      <c r="M1144" s="21" t="s">
        <v>1253</v>
      </c>
      <c r="N1144" s="48">
        <v>45632</v>
      </c>
      <c r="O1144" s="21">
        <f>INDEX(Auxiliar!$D$5:$F$13,MATCH(Table1[[#This Row],[Tipologia_Testes]],Auxiliar!$B$5:$B$13,0),MATCH(Table1[[#This Row],[Complexidade]],Auxiliar!$D$4:$F$4,0))</f>
        <v>2</v>
      </c>
      <c r="P1144" s="43" t="s">
        <v>1338</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1249</v>
      </c>
      <c r="L1145" s="46" t="s">
        <v>1252</v>
      </c>
      <c r="M1145" s="21" t="s">
        <v>1253</v>
      </c>
      <c r="N1145" s="48">
        <v>45632</v>
      </c>
      <c r="O1145" s="21">
        <f>INDEX(Auxiliar!$D$5:$F$13,MATCH(Table1[[#This Row],[Tipologia_Testes]],Auxiliar!$B$5:$B$13,0),MATCH(Table1[[#This Row],[Complexidade]],Auxiliar!$D$4:$F$4,0))</f>
        <v>0.1</v>
      </c>
      <c r="P1145" s="43" t="s">
        <v>1338</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6" t="s">
        <v>312</v>
      </c>
      <c r="E1146" s="40" t="s">
        <v>283</v>
      </c>
      <c r="F1146" s="40" t="s">
        <v>369</v>
      </c>
      <c r="G1146" s="38" t="s">
        <v>358</v>
      </c>
      <c r="H1146" s="60" t="str">
        <f>Table1[[#This Row],[Tabela]]&amp;Table1[[#This Row],[Campo]]</f>
        <v>lt004_protectionflg_act_physcl_rsk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283</v>
      </c>
      <c r="F1147" s="39" t="s">
        <v>369</v>
      </c>
      <c r="G1147" s="39" t="s">
        <v>358</v>
      </c>
      <c r="H1147" s="59" t="str">
        <f>Table1[[#This Row],[Tabela]]&amp;Table1[[#This Row],[Campo]]</f>
        <v>lt004_protectionflg_act_physcl_rsk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283</v>
      </c>
      <c r="F1148" s="39" t="s">
        <v>369</v>
      </c>
      <c r="G1148" s="39" t="s">
        <v>358</v>
      </c>
      <c r="H1148" s="59" t="str">
        <f>Table1[[#This Row],[Tabela]]&amp;Table1[[#This Row],[Campo]]</f>
        <v>lt004_protectionflg_act_physcl_rsk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7" t="s">
        <v>1349</v>
      </c>
      <c r="E1149" s="42" t="s">
        <v>1331</v>
      </c>
      <c r="F1149" s="40" t="s">
        <v>369</v>
      </c>
      <c r="G1149" s="38" t="s">
        <v>373</v>
      </c>
      <c r="H1149" s="60" t="str">
        <f>Table1[[#This Row],[Tabela]]&amp;Table1[[#This Row],[Campo]]</f>
        <v>lt004_protectionepc_lbl</v>
      </c>
      <c r="I1149" s="2" t="s">
        <v>613</v>
      </c>
      <c r="J1149" s="45">
        <f>VLOOKUP(Table1[[#This Row],[Status]],Auxiliar!$B$16:$C$24,2,0)</f>
        <v>1</v>
      </c>
      <c r="K1149" s="45" t="s">
        <v>1246</v>
      </c>
      <c r="L1149" s="46" t="s">
        <v>1252</v>
      </c>
      <c r="M1149" s="21" t="s">
        <v>1253</v>
      </c>
      <c r="N1149" s="48">
        <v>45667</v>
      </c>
      <c r="O1149" s="21">
        <f>INDEX(Auxiliar!$D$5:$F$13,MATCH(Table1[[#This Row],[Tipologia_Testes]],Auxiliar!$B$5:$B$13,0),MATCH(Table1[[#This Row],[Complexidade]],Auxiliar!$D$4:$F$4,0))</f>
        <v>2</v>
      </c>
      <c r="P1149" s="43" t="s">
        <v>1350</v>
      </c>
      <c r="Q1149" s="43"/>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1349</v>
      </c>
      <c r="E1150" s="39" t="s">
        <v>1331</v>
      </c>
      <c r="F1150" s="39" t="s">
        <v>369</v>
      </c>
      <c r="G1150" s="39" t="s">
        <v>373</v>
      </c>
      <c r="H1150" s="59" t="str">
        <f>Table1[[#This Row],[Tabela]]&amp;Table1[[#This Row],[Campo]]</f>
        <v>lt004_protectionepc_lbl</v>
      </c>
      <c r="I1150" s="2" t="s">
        <v>613</v>
      </c>
      <c r="J1150" s="45">
        <f>VLOOKUP(Table1[[#This Row],[Status]],Auxiliar!$B$16:$C$24,2,0)</f>
        <v>1</v>
      </c>
      <c r="K1150" s="45" t="s">
        <v>1247</v>
      </c>
      <c r="L1150" s="46" t="s">
        <v>1252</v>
      </c>
      <c r="M1150" s="21" t="s">
        <v>1253</v>
      </c>
      <c r="N1150" s="48">
        <v>45667</v>
      </c>
      <c r="O1150" s="21">
        <f>INDEX(Auxiliar!$D$5:$F$13,MATCH(Table1[[#This Row],[Tipologia_Testes]],Auxiliar!$B$5:$B$13,0),MATCH(Table1[[#This Row],[Complexidade]],Auxiliar!$D$4:$F$4,0))</f>
        <v>2</v>
      </c>
      <c r="P1150" s="43" t="s">
        <v>1350</v>
      </c>
      <c r="Q1150" s="43"/>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1349</v>
      </c>
      <c r="E1151" s="39" t="s">
        <v>1331</v>
      </c>
      <c r="F1151" s="39" t="s">
        <v>369</v>
      </c>
      <c r="G1151" s="39" t="s">
        <v>373</v>
      </c>
      <c r="H1151" s="59" t="str">
        <f>Table1[[#This Row],[Tabela]]&amp;Table1[[#This Row],[Campo]]</f>
        <v>lt004_protectionepc_lbl</v>
      </c>
      <c r="I1151" s="2" t="s">
        <v>613</v>
      </c>
      <c r="J1151" s="45">
        <f>VLOOKUP(Table1[[#This Row],[Status]],Auxiliar!$B$16:$C$24,2,0)</f>
        <v>1</v>
      </c>
      <c r="K1151" s="45" t="s">
        <v>1249</v>
      </c>
      <c r="L1151" s="46" t="s">
        <v>1252</v>
      </c>
      <c r="M1151" s="21" t="s">
        <v>1253</v>
      </c>
      <c r="N1151" s="48">
        <v>45667</v>
      </c>
      <c r="O1151" s="21">
        <f>INDEX(Auxiliar!$D$5:$F$13,MATCH(Table1[[#This Row],[Tipologia_Testes]],Auxiliar!$B$5:$B$13,0),MATCH(Table1[[#This Row],[Complexidade]],Auxiliar!$D$4:$F$4,0))</f>
        <v>0.1</v>
      </c>
      <c r="P1151" s="43" t="s">
        <v>1350</v>
      </c>
      <c r="Q1151" s="43"/>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371</v>
      </c>
      <c r="H1152" s="60" t="str">
        <f>Table1[[#This Row],[Tabela]]&amp;Table1[[#This Row],[Campo]]</f>
        <v>lt004_protectionep_scr</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152"/>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371</v>
      </c>
      <c r="H1153" s="59" t="str">
        <f>Table1[[#This Row],[Tabela]]&amp;Table1[[#This Row],[Campo]]</f>
        <v>lt004_protectionep_scr</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152"/>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371</v>
      </c>
      <c r="H1154" s="59" t="str">
        <f>Table1[[#This Row],[Tabela]]&amp;Table1[[#This Row],[Campo]]</f>
        <v>lt004_protectionep_scr</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152"/>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6" t="s">
        <v>1351</v>
      </c>
      <c r="E1155" s="40" t="s">
        <v>1354</v>
      </c>
      <c r="F1155" s="40" t="s">
        <v>369</v>
      </c>
      <c r="G1155" s="38" t="s">
        <v>376</v>
      </c>
      <c r="H1155" s="60" t="str">
        <f>Table1[[#This Row],[Tabela]]&amp;Table1[[#This Row],[Campo]]</f>
        <v>lt004_protectionemssns_scp3_prtctn</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1338</v>
      </c>
      <c r="Q1155" s="152"/>
      <c r="R1155" s="152">
        <v>45622</v>
      </c>
      <c r="S1155" s="152"/>
      <c r="T1155" s="152"/>
      <c r="U1155" s="152">
        <v>45631</v>
      </c>
      <c r="V1155" s="152">
        <v>45631</v>
      </c>
      <c r="W1155" s="2">
        <f>VLOOKUP(Table1[[#This Row],[Status]],Auxiliar!$B$16:$D$24,3,0)*Table1[[#This Row],[Estimação (horas)]]</f>
        <v>2</v>
      </c>
      <c r="X1155" s="114"/>
    </row>
    <row r="1156" spans="2:24" ht="17.7" hidden="1" customHeight="1">
      <c r="B1156" s="39" t="s">
        <v>26</v>
      </c>
      <c r="C1156" s="39" t="s">
        <v>26</v>
      </c>
      <c r="D1156" s="39" t="s">
        <v>1351</v>
      </c>
      <c r="E1156" s="39" t="s">
        <v>1354</v>
      </c>
      <c r="F1156" s="39" t="s">
        <v>369</v>
      </c>
      <c r="G1156" s="39" t="s">
        <v>376</v>
      </c>
      <c r="H1156" s="59" t="str">
        <f>Table1[[#This Row],[Tabela]]&amp;Table1[[#This Row],[Campo]]</f>
        <v>lt004_protectionemssns_scp3_prtctn</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1338</v>
      </c>
      <c r="Q1156" s="152"/>
      <c r="R1156" s="152">
        <v>45622</v>
      </c>
      <c r="S1156" s="152"/>
      <c r="T1156" s="152"/>
      <c r="U1156" s="152">
        <v>45631</v>
      </c>
      <c r="V1156" s="152">
        <v>45631</v>
      </c>
      <c r="W1156" s="2">
        <f>VLOOKUP(Table1[[#This Row],[Status]],Auxiliar!$B$16:$D$24,3,0)*Table1[[#This Row],[Estimação (horas)]]</f>
        <v>2</v>
      </c>
      <c r="X1156" s="114"/>
    </row>
    <row r="1157" spans="2:24" ht="17.7" hidden="1" customHeight="1">
      <c r="B1157" s="39" t="s">
        <v>26</v>
      </c>
      <c r="C1157" s="39" t="s">
        <v>26</v>
      </c>
      <c r="D1157" s="39" t="s">
        <v>1351</v>
      </c>
      <c r="E1157" s="39" t="s">
        <v>1354</v>
      </c>
      <c r="F1157" s="39" t="s">
        <v>369</v>
      </c>
      <c r="G1157" s="39" t="s">
        <v>376</v>
      </c>
      <c r="H1157" s="59" t="str">
        <f>Table1[[#This Row],[Tabela]]&amp;Table1[[#This Row],[Campo]]</f>
        <v>lt004_protectionemssns_scp3_prtctn</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1338</v>
      </c>
      <c r="Q1157" s="152"/>
      <c r="R1157" s="152">
        <v>45622</v>
      </c>
      <c r="S1157" s="152"/>
      <c r="T1157" s="152"/>
      <c r="U1157" s="152">
        <v>45631</v>
      </c>
      <c r="V1157" s="152">
        <v>45631</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1246</v>
      </c>
      <c r="L1158" s="46" t="s">
        <v>1252</v>
      </c>
      <c r="M1158" s="21" t="s">
        <v>1253</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1247</v>
      </c>
      <c r="L1159" s="46" t="s">
        <v>1252</v>
      </c>
      <c r="M1159" s="21" t="s">
        <v>1253</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1249</v>
      </c>
      <c r="L1160" s="46" t="s">
        <v>1252</v>
      </c>
      <c r="M1160" s="21" t="s">
        <v>1253</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1246</v>
      </c>
      <c r="L1161" s="46" t="s">
        <v>1252</v>
      </c>
      <c r="M1161" s="21" t="s">
        <v>1253</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1247</v>
      </c>
      <c r="L1162" s="46" t="s">
        <v>1252</v>
      </c>
      <c r="M1162" s="21" t="s">
        <v>1253</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1249</v>
      </c>
      <c r="L1163" s="46" t="s">
        <v>1252</v>
      </c>
      <c r="M1163" s="21" t="s">
        <v>1253</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1349</v>
      </c>
      <c r="E1164" s="42" t="s">
        <v>1331</v>
      </c>
      <c r="F1164" s="40" t="s">
        <v>1948</v>
      </c>
      <c r="G1164" s="38" t="s">
        <v>383</v>
      </c>
      <c r="H1164" s="60" t="str">
        <f>Table1[[#This Row],[Tabela]]&amp;Table1[[#This Row],[Campo]]</f>
        <v>lt007_instr_activityenvrnmntl_objctv</v>
      </c>
      <c r="I1164" s="2" t="s">
        <v>613</v>
      </c>
      <c r="J1164" s="45">
        <f>VLOOKUP(Table1[[#This Row],[Status]],Auxiliar!$B$16:$C$24,2,0)</f>
        <v>1</v>
      </c>
      <c r="K1164" s="45" t="s">
        <v>1246</v>
      </c>
      <c r="L1164" s="46" t="s">
        <v>1252</v>
      </c>
      <c r="M1164" s="21" t="s">
        <v>1253</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1349</v>
      </c>
      <c r="E1165" s="39" t="s">
        <v>1331</v>
      </c>
      <c r="F1165" s="40" t="s">
        <v>1948</v>
      </c>
      <c r="G1165" s="39" t="s">
        <v>383</v>
      </c>
      <c r="H1165" s="59" t="str">
        <f>Table1[[#This Row],[Tabela]]&amp;Table1[[#This Row],[Campo]]</f>
        <v>lt007_instr_activityenvrnmntl_objctv</v>
      </c>
      <c r="I1165" s="2" t="s">
        <v>613</v>
      </c>
      <c r="J1165" s="45">
        <f>VLOOKUP(Table1[[#This Row],[Status]],Auxiliar!$B$16:$C$24,2,0)</f>
        <v>1</v>
      </c>
      <c r="K1165" s="45" t="s">
        <v>1247</v>
      </c>
      <c r="L1165" s="46" t="s">
        <v>1252</v>
      </c>
      <c r="M1165" s="21" t="s">
        <v>1253</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1349</v>
      </c>
      <c r="E1166" s="39" t="s">
        <v>1331</v>
      </c>
      <c r="F1166" s="40" t="s">
        <v>1948</v>
      </c>
      <c r="G1166" s="39" t="s">
        <v>383</v>
      </c>
      <c r="H1166" s="59" t="str">
        <f>Table1[[#This Row],[Tabela]]&amp;Table1[[#This Row],[Campo]]</f>
        <v>lt007_instr_activityenvrnmntl_objctv</v>
      </c>
      <c r="I1166" s="2" t="s">
        <v>613</v>
      </c>
      <c r="J1166" s="45">
        <f>VLOOKUP(Table1[[#This Row],[Status]],Auxiliar!$B$16:$C$24,2,0)</f>
        <v>1</v>
      </c>
      <c r="K1166" s="45" t="s">
        <v>1249</v>
      </c>
      <c r="L1166" s="46" t="s">
        <v>1252</v>
      </c>
      <c r="M1166" s="21" t="s">
        <v>1253</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1349</v>
      </c>
      <c r="E1167" s="42" t="s">
        <v>1331</v>
      </c>
      <c r="F1167" s="40" t="s">
        <v>1948</v>
      </c>
      <c r="G1167" s="38" t="s">
        <v>384</v>
      </c>
      <c r="H1167" s="60" t="str">
        <f>Table1[[#This Row],[Tabela]]&amp;Table1[[#This Row],[Campo]]</f>
        <v>lt007_instr_activitytyp_actvty</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384</v>
      </c>
      <c r="H1168" s="59" t="str">
        <f>Table1[[#This Row],[Tabela]]&amp;Table1[[#This Row],[Campo]]</f>
        <v>lt007_instr_activitytyp_actvty</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384</v>
      </c>
      <c r="H1169" s="59" t="str">
        <f>Table1[[#This Row],[Tabela]]&amp;Table1[[#This Row],[Campo]]</f>
        <v>lt007_instr_activitytyp_actvty</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1349</v>
      </c>
      <c r="E1170" s="42" t="s">
        <v>1331</v>
      </c>
      <c r="F1170" s="40" t="s">
        <v>380</v>
      </c>
      <c r="G1170" s="38" t="s">
        <v>385</v>
      </c>
      <c r="H1170" s="60" t="str">
        <f>Table1[[#This Row],[Tabela]]&amp;Table1[[#This Row],[Campo]]</f>
        <v>lt002_instrumentlns_clltrlzd_clssfctn</v>
      </c>
      <c r="I1170" s="2" t="s">
        <v>613</v>
      </c>
      <c r="J1170" s="45">
        <f>VLOOKUP(Table1[[#This Row],[Status]],Auxiliar!$B$16:$C$24,2,0)</f>
        <v>1</v>
      </c>
      <c r="K1170" s="45" t="s">
        <v>1246</v>
      </c>
      <c r="L1170" s="46" t="s">
        <v>1252</v>
      </c>
      <c r="M1170" s="21" t="s">
        <v>1253</v>
      </c>
      <c r="N1170" s="48">
        <v>45583</v>
      </c>
      <c r="O1170" s="21">
        <f>INDEX(Auxiliar!$D$5:$F$13,MATCH(Table1[[#This Row],[Tipologia_Testes]],Auxiliar!$B$5:$B$13,0),MATCH(Table1[[#This Row],[Complexidade]],Auxiliar!$D$4:$F$4,0))</f>
        <v>2</v>
      </c>
      <c r="P1170" s="43" t="s">
        <v>1356</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1349</v>
      </c>
      <c r="E1171" s="39" t="s">
        <v>1331</v>
      </c>
      <c r="F1171" s="39" t="s">
        <v>380</v>
      </c>
      <c r="G1171" s="39" t="s">
        <v>385</v>
      </c>
      <c r="H1171" s="59" t="str">
        <f>Table1[[#This Row],[Tabela]]&amp;Table1[[#This Row],[Campo]]</f>
        <v>lt002_instrumentlns_clltrlzd_clssfctn</v>
      </c>
      <c r="I1171" s="2" t="s">
        <v>613</v>
      </c>
      <c r="J1171" s="45">
        <f>VLOOKUP(Table1[[#This Row],[Status]],Auxiliar!$B$16:$C$24,2,0)</f>
        <v>1</v>
      </c>
      <c r="K1171" s="45" t="s">
        <v>1247</v>
      </c>
      <c r="L1171" s="46" t="s">
        <v>1252</v>
      </c>
      <c r="M1171" s="21" t="s">
        <v>1253</v>
      </c>
      <c r="N1171" s="48">
        <v>45596</v>
      </c>
      <c r="O1171" s="21">
        <f>INDEX(Auxiliar!$D$5:$F$13,MATCH(Table1[[#This Row],[Tipologia_Testes]],Auxiliar!$B$5:$B$13,0),MATCH(Table1[[#This Row],[Complexidade]],Auxiliar!$D$4:$F$4,0))</f>
        <v>2</v>
      </c>
      <c r="P1171" s="43" t="s">
        <v>1356</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1349</v>
      </c>
      <c r="E1172" s="39" t="s">
        <v>1331</v>
      </c>
      <c r="F1172" s="39" t="s">
        <v>380</v>
      </c>
      <c r="G1172" s="39" t="s">
        <v>385</v>
      </c>
      <c r="H1172" s="59" t="str">
        <f>Table1[[#This Row],[Tabela]]&amp;Table1[[#This Row],[Campo]]</f>
        <v>lt002_instrumentlns_clltrlzd_clssfctn</v>
      </c>
      <c r="I1172" s="2" t="s">
        <v>613</v>
      </c>
      <c r="J1172" s="45">
        <f>VLOOKUP(Table1[[#This Row],[Status]],Auxiliar!$B$16:$C$24,2,0)</f>
        <v>1</v>
      </c>
      <c r="K1172" s="45" t="s">
        <v>1249</v>
      </c>
      <c r="L1172" s="46" t="s">
        <v>1252</v>
      </c>
      <c r="M1172" s="21" t="s">
        <v>1253</v>
      </c>
      <c r="N1172" s="48">
        <v>45596</v>
      </c>
      <c r="O1172" s="21">
        <f>INDEX(Auxiliar!$D$5:$F$13,MATCH(Table1[[#This Row],[Tipologia_Testes]],Auxiliar!$B$5:$B$13,0),MATCH(Table1[[#This Row],[Complexidade]],Auxiliar!$D$4:$F$4,0))</f>
        <v>0.1</v>
      </c>
      <c r="P1172" s="43" t="s">
        <v>1356</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1949</v>
      </c>
      <c r="E1173" s="111" t="s">
        <v>38</v>
      </c>
      <c r="F1173" s="40" t="s">
        <v>380</v>
      </c>
      <c r="G1173" s="38" t="s">
        <v>386</v>
      </c>
      <c r="H1173" s="60" t="str">
        <f>Table1[[#This Row],[Tabela]]&amp;Table1[[#This Row],[Campo]]</f>
        <v>lt002_instrumentmthd_usd_instrmnt_scp_1</v>
      </c>
      <c r="I1173" s="2" t="s">
        <v>614</v>
      </c>
      <c r="J1173" s="45">
        <f>VLOOKUP(Table1[[#This Row],[Status]],Auxiliar!$B$16:$C$24,2,0)</f>
        <v>4</v>
      </c>
      <c r="K1173" s="45" t="s">
        <v>1246</v>
      </c>
      <c r="L1173" s="46" t="s">
        <v>1252</v>
      </c>
      <c r="M1173" s="21" t="s">
        <v>1253</v>
      </c>
      <c r="N1173" s="48">
        <v>45667</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0.5</v>
      </c>
      <c r="X1173" s="114"/>
    </row>
    <row r="1174" spans="2:24" ht="17.7" hidden="1" customHeight="1">
      <c r="B1174" s="39" t="s">
        <v>26</v>
      </c>
      <c r="C1174" s="39" t="s">
        <v>26</v>
      </c>
      <c r="D1174" s="39" t="s">
        <v>1949</v>
      </c>
      <c r="E1174" s="39" t="s">
        <v>38</v>
      </c>
      <c r="F1174" s="39" t="s">
        <v>380</v>
      </c>
      <c r="G1174" s="39" t="s">
        <v>386</v>
      </c>
      <c r="H1174" s="59" t="str">
        <f>Table1[[#This Row],[Tabela]]&amp;Table1[[#This Row],[Campo]]</f>
        <v>lt002_instrumentmthd_usd_instrmnt_scp_1</v>
      </c>
      <c r="I1174" s="2" t="s">
        <v>614</v>
      </c>
      <c r="J1174" s="45">
        <f>VLOOKUP(Table1[[#This Row],[Status]],Auxiliar!$B$16:$C$24,2,0)</f>
        <v>4</v>
      </c>
      <c r="K1174" s="45" t="s">
        <v>1247</v>
      </c>
      <c r="L1174" s="46" t="s">
        <v>1252</v>
      </c>
      <c r="M1174" s="21" t="s">
        <v>1253</v>
      </c>
      <c r="N1174" s="48">
        <v>45667</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0.5</v>
      </c>
      <c r="X1174" s="114"/>
    </row>
    <row r="1175" spans="2:24" ht="17.7" hidden="1" customHeight="1">
      <c r="B1175" s="39" t="s">
        <v>26</v>
      </c>
      <c r="C1175" s="39" t="s">
        <v>26</v>
      </c>
      <c r="D1175" s="39" t="s">
        <v>1949</v>
      </c>
      <c r="E1175" s="39" t="s">
        <v>38</v>
      </c>
      <c r="F1175" s="39" t="s">
        <v>380</v>
      </c>
      <c r="G1175" s="39" t="s">
        <v>386</v>
      </c>
      <c r="H1175" s="59" t="str">
        <f>Table1[[#This Row],[Tabela]]&amp;Table1[[#This Row],[Campo]]</f>
        <v>lt002_instrumentmthd_usd_instrmnt_scp_1</v>
      </c>
      <c r="I1175" s="2" t="s">
        <v>614</v>
      </c>
      <c r="J1175" s="45">
        <f>VLOOKUP(Table1[[#This Row],[Status]],Auxiliar!$B$16:$C$24,2,0)</f>
        <v>4</v>
      </c>
      <c r="K1175" s="45" t="s">
        <v>1249</v>
      </c>
      <c r="L1175" s="46" t="s">
        <v>1252</v>
      </c>
      <c r="M1175" s="21" t="s">
        <v>1253</v>
      </c>
      <c r="N1175" s="48">
        <v>45667</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2.5000000000000001E-2</v>
      </c>
      <c r="X1175" s="114"/>
    </row>
    <row r="1176" spans="2:24" ht="34.950000000000003" hidden="1" customHeight="1">
      <c r="B1176" s="41" t="s">
        <v>26</v>
      </c>
      <c r="C1176" s="41" t="s">
        <v>26</v>
      </c>
      <c r="D1176" s="37" t="s">
        <v>1949</v>
      </c>
      <c r="E1176" s="111" t="s">
        <v>38</v>
      </c>
      <c r="F1176" s="40" t="s">
        <v>380</v>
      </c>
      <c r="G1176" s="38" t="s">
        <v>387</v>
      </c>
      <c r="H1176" s="60" t="str">
        <f>Table1[[#This Row],[Tabela]]&amp;Table1[[#This Row],[Campo]]</f>
        <v>lt002_instrumentmthd_usd_instrmnt_scp_2</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387</v>
      </c>
      <c r="H1177" s="59" t="str">
        <f>Table1[[#This Row],[Tabela]]&amp;Table1[[#This Row],[Campo]]</f>
        <v>lt002_instrumentmthd_usd_instrmnt_scp_2</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387</v>
      </c>
      <c r="H1178" s="59" t="str">
        <f>Table1[[#This Row],[Tabela]]&amp;Table1[[#This Row],[Campo]]</f>
        <v>lt002_instrumentmthd_usd_instrmnt_scp_2</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39" t="s">
        <v>26</v>
      </c>
      <c r="C1179" s="39" t="s">
        <v>26</v>
      </c>
      <c r="D1179" s="37" t="s">
        <v>1949</v>
      </c>
      <c r="E1179" s="111" t="s">
        <v>38</v>
      </c>
      <c r="F1179" s="40" t="s">
        <v>380</v>
      </c>
      <c r="G1179" s="38" t="s">
        <v>388</v>
      </c>
      <c r="H1179" s="60" t="str">
        <f>Table1[[#This Row],[Tabela]]&amp;Table1[[#This Row],[Campo]]</f>
        <v>lt002_instrumentmthd_usd_instrmnt_scp_3</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388</v>
      </c>
      <c r="H1180" s="59" t="str">
        <f>Table1[[#This Row],[Tabela]]&amp;Table1[[#This Row],[Campo]]</f>
        <v>lt002_instrumentmthd_usd_instrmnt_scp_3</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388</v>
      </c>
      <c r="H1181" s="59" t="str">
        <f>Table1[[#This Row],[Tabela]]&amp;Table1[[#This Row],[Campo]]</f>
        <v>lt002_instrumentmthd_usd_instrmnt_scp_3</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17.7" hidden="1" customHeight="1">
      <c r="B1182" s="39" t="s">
        <v>26</v>
      </c>
      <c r="C1182" s="39" t="s">
        <v>26</v>
      </c>
      <c r="D1182" s="40" t="s">
        <v>1357</v>
      </c>
      <c r="E1182" s="42" t="s">
        <v>1358</v>
      </c>
      <c r="F1182" s="40" t="s">
        <v>380</v>
      </c>
      <c r="G1182" s="38" t="s">
        <v>389</v>
      </c>
      <c r="H1182" s="60" t="str">
        <f>Table1[[#This Row],[Tabela]]&amp;Table1[[#This Row],[Campo]]</f>
        <v>lt002_instrumentsstnbl_ctgry_txnmy</v>
      </c>
      <c r="I1182" s="2" t="s">
        <v>613</v>
      </c>
      <c r="J1182" s="45">
        <f>VLOOKUP(Table1[[#This Row],[Status]],Auxiliar!$B$16:$C$24,2,0)</f>
        <v>1</v>
      </c>
      <c r="K1182" s="45" t="s">
        <v>1246</v>
      </c>
      <c r="L1182" s="46" t="s">
        <v>1252</v>
      </c>
      <c r="M1182" s="21" t="s">
        <v>1253</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1357</v>
      </c>
      <c r="E1183" s="39" t="s">
        <v>1358</v>
      </c>
      <c r="F1183" s="39" t="s">
        <v>380</v>
      </c>
      <c r="G1183" s="39" t="s">
        <v>389</v>
      </c>
      <c r="H1183" s="59" t="str">
        <f>Table1[[#This Row],[Tabela]]&amp;Table1[[#This Row],[Campo]]</f>
        <v>lt002_instrumentsstnbl_ctgry_txnmy</v>
      </c>
      <c r="I1183" s="2" t="s">
        <v>613</v>
      </c>
      <c r="J1183" s="45">
        <f>VLOOKUP(Table1[[#This Row],[Status]],Auxiliar!$B$16:$C$24,2,0)</f>
        <v>1</v>
      </c>
      <c r="K1183" s="45" t="s">
        <v>1247</v>
      </c>
      <c r="L1183" s="46" t="s">
        <v>1252</v>
      </c>
      <c r="M1183" s="21" t="s">
        <v>1253</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1357</v>
      </c>
      <c r="E1184" s="39" t="s">
        <v>1358</v>
      </c>
      <c r="F1184" s="39" t="s">
        <v>380</v>
      </c>
      <c r="G1184" s="39" t="s">
        <v>389</v>
      </c>
      <c r="H1184" s="59" t="str">
        <f>Table1[[#This Row],[Tabela]]&amp;Table1[[#This Row],[Campo]]</f>
        <v>lt002_instrumentsstnbl_ctgry_txnmy</v>
      </c>
      <c r="I1184" s="2" t="s">
        <v>613</v>
      </c>
      <c r="J1184" s="45">
        <f>VLOOKUP(Table1[[#This Row],[Status]],Auxiliar!$B$16:$C$24,2,0)</f>
        <v>1</v>
      </c>
      <c r="K1184" s="45" t="s">
        <v>1249</v>
      </c>
      <c r="L1184" s="46" t="s">
        <v>1252</v>
      </c>
      <c r="M1184" s="21" t="s">
        <v>1253</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1949</v>
      </c>
      <c r="G1185" s="40" t="s">
        <v>391</v>
      </c>
      <c r="H1185" s="60" t="str">
        <f>Table1[[#This Row],[Tabela]]&amp;Table1[[#This Row],[Campo]]</f>
        <v>lt827_mthd_usd_instrmntambito</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1949</v>
      </c>
      <c r="G1186" s="39" t="s">
        <v>391</v>
      </c>
      <c r="H1186" s="59" t="str">
        <f>Table1[[#This Row],[Tabela]]&amp;Table1[[#This Row],[Campo]]</f>
        <v>lt827_mthd_usd_instrmntambito</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1949</v>
      </c>
      <c r="G1187" s="39" t="s">
        <v>391</v>
      </c>
      <c r="H1187" s="59" t="str">
        <f>Table1[[#This Row],[Tabela]]&amp;Table1[[#This Row],[Campo]]</f>
        <v>lt827_mthd_usd_instrmntambito</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208</v>
      </c>
      <c r="H1188" s="60" t="str">
        <f>Table1[[#This Row],[Tabela]]&amp;Table1[[#This Row],[Campo]]</f>
        <v>lt827_mthd_usd_instrmntref_date</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208</v>
      </c>
      <c r="H1189" s="59" t="str">
        <f>Table1[[#This Row],[Tabela]]&amp;Table1[[#This Row],[Campo]]</f>
        <v>lt827_mthd_usd_instrmntref_date</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208</v>
      </c>
      <c r="H1190" s="59" t="str">
        <f>Table1[[#This Row],[Tabela]]&amp;Table1[[#This Row],[Campo]]</f>
        <v>lt827_mthd_usd_instrmntref_date</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211</v>
      </c>
      <c r="H1191" s="60" t="str">
        <f>Table1[[#This Row],[Tabela]]&amp;Table1[[#This Row],[Campo]]</f>
        <v>lt827_mthd_usd_instrmntordem</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211</v>
      </c>
      <c r="H1192" s="59" t="str">
        <f>Table1[[#This Row],[Tabela]]&amp;Table1[[#This Row],[Campo]]</f>
        <v>lt827_mthd_usd_instrmntordem</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211</v>
      </c>
      <c r="H1193" s="59" t="str">
        <f>Table1[[#This Row],[Tabela]]&amp;Table1[[#This Row],[Campo]]</f>
        <v>lt827_mthd_usd_instrmntordem</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392</v>
      </c>
      <c r="H1194" s="60" t="str">
        <f>Table1[[#This Row],[Tabela]]&amp;Table1[[#This Row],[Campo]]</f>
        <v>lt827_mthd_usd_instrmnttabela</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392</v>
      </c>
      <c r="H1195" s="59" t="str">
        <f>Table1[[#This Row],[Tabela]]&amp;Table1[[#This Row],[Campo]]</f>
        <v>lt827_mthd_usd_instrmnttabela</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392</v>
      </c>
      <c r="H1196" s="59" t="str">
        <f>Table1[[#This Row],[Tabela]]&amp;Table1[[#This Row],[Campo]]</f>
        <v>lt827_mthd_usd_instrmnttabela</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38" t="s">
        <v>320</v>
      </c>
      <c r="H1197" s="60" t="str">
        <f>Table1[[#This Row],[Tabela]]&amp;Table1[[#This Row],[Campo]]</f>
        <v>lt827_mthd_usd_instrmntorigem_scp1_emss</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320</v>
      </c>
      <c r="H1198" s="59" t="str">
        <f>Table1[[#This Row],[Tabela]]&amp;Table1[[#This Row],[Campo]]</f>
        <v>lt827_mthd_usd_instrmntorigem_scp1_emss</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320</v>
      </c>
      <c r="H1199" s="59" t="str">
        <f>Table1[[#This Row],[Tabela]]&amp;Table1[[#This Row],[Campo]]</f>
        <v>lt827_mthd_usd_instrmntorigem_scp1_emss</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321</v>
      </c>
      <c r="H1200" s="60" t="str">
        <f>Table1[[#This Row],[Tabela]]&amp;Table1[[#This Row],[Campo]]</f>
        <v>lt827_mthd_usd_instrmntorigem_scp2_emss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321</v>
      </c>
      <c r="H1201" s="59" t="str">
        <f>Table1[[#This Row],[Tabela]]&amp;Table1[[#This Row],[Campo]]</f>
        <v>lt827_mthd_usd_instrmntorigem_scp2_emss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321</v>
      </c>
      <c r="H1202" s="59" t="str">
        <f>Table1[[#This Row],[Tabela]]&amp;Table1[[#This Row],[Campo]]</f>
        <v>lt827_mthd_usd_instrmntorigem_scp2_emss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322</v>
      </c>
      <c r="H1203" s="60" t="str">
        <f>Table1[[#This Row],[Tabela]]&amp;Table1[[#This Row],[Campo]]</f>
        <v>lt827_mthd_usd_instrmntorigem_scp3_emss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322</v>
      </c>
      <c r="H1204" s="59" t="str">
        <f>Table1[[#This Row],[Tabela]]&amp;Table1[[#This Row],[Campo]]</f>
        <v>lt827_mthd_usd_instrmntorigem_scp3_emss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322</v>
      </c>
      <c r="H1205" s="59" t="str">
        <f>Table1[[#This Row],[Tabela]]&amp;Table1[[#This Row],[Campo]]</f>
        <v>lt827_mthd_usd_instrmntorigem_scp3_emss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386</v>
      </c>
      <c r="H1206" s="60" t="str">
        <f>Table1[[#This Row],[Tabela]]&amp;Table1[[#This Row],[Campo]]</f>
        <v>lt827_mthd_usd_instrmntmthd_usd_instrmnt_scp_1</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386</v>
      </c>
      <c r="H1207" s="59" t="str">
        <f>Table1[[#This Row],[Tabela]]&amp;Table1[[#This Row],[Campo]]</f>
        <v>lt827_mthd_usd_instrmntmthd_usd_instrmnt_scp_1</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386</v>
      </c>
      <c r="H1208" s="59" t="str">
        <f>Table1[[#This Row],[Tabela]]&amp;Table1[[#This Row],[Campo]]</f>
        <v>lt827_mthd_usd_instrmntmthd_usd_instrmnt_scp_1</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387</v>
      </c>
      <c r="H1209" s="60" t="str">
        <f>Table1[[#This Row],[Tabela]]&amp;Table1[[#This Row],[Campo]]</f>
        <v>lt827_mthd_usd_instrmntmthd_usd_instrmnt_scp_2</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387</v>
      </c>
      <c r="H1210" s="59" t="str">
        <f>Table1[[#This Row],[Tabela]]&amp;Table1[[#This Row],[Campo]]</f>
        <v>lt827_mthd_usd_instrmntmthd_usd_instrmnt_scp_2</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387</v>
      </c>
      <c r="H1211" s="59" t="str">
        <f>Table1[[#This Row],[Tabela]]&amp;Table1[[#This Row],[Campo]]</f>
        <v>lt827_mthd_usd_instrmntmthd_usd_instrmnt_scp_2</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388</v>
      </c>
      <c r="H1212" s="60" t="str">
        <f>Table1[[#This Row],[Tabela]]&amp;Table1[[#This Row],[Campo]]</f>
        <v>lt827_mthd_usd_instrmntmthd_usd_instrmnt_scp_3</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388</v>
      </c>
      <c r="H1213" s="59" t="str">
        <f>Table1[[#This Row],[Tabela]]&amp;Table1[[#This Row],[Campo]]</f>
        <v>lt827_mthd_usd_instrmntmthd_usd_instrmnt_scp_3</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388</v>
      </c>
      <c r="H1214" s="59" t="str">
        <f>Table1[[#This Row],[Tabela]]&amp;Table1[[#This Row],[Campo]]</f>
        <v>lt827_mthd_usd_instrmntmthd_usd_instrmnt_scp_3</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1949</v>
      </c>
      <c r="G1215" s="39" t="s">
        <v>1933</v>
      </c>
      <c r="H1215" s="59" t="str">
        <f>Table1[[#This Row],[Tabela]]&amp;Table1[[#This Row],[Campo]]</f>
        <v>lt827_mthd_usd_instrmntpurpose_code</v>
      </c>
      <c r="I1215" s="2" t="s">
        <v>613</v>
      </c>
      <c r="J1215" s="45">
        <f>VLOOKUP(Table1[[#This Row],[Status]],Auxiliar!$B$16:$C$24,2,0)</f>
        <v>1</v>
      </c>
      <c r="K1215" s="45" t="s">
        <v>1246</v>
      </c>
      <c r="L1215" s="46" t="s">
        <v>1252</v>
      </c>
      <c r="M1215" s="21" t="s">
        <v>1253</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1933</v>
      </c>
      <c r="H1216" s="59" t="str">
        <f>Table1[[#This Row],[Tabela]]&amp;Table1[[#This Row],[Campo]]</f>
        <v>lt827_mthd_usd_instrmntpurpose_code</v>
      </c>
      <c r="I1216" s="2" t="s">
        <v>613</v>
      </c>
      <c r="J1216" s="45">
        <f>VLOOKUP(Table1[[#This Row],[Status]],Auxiliar!$B$16:$C$24,2,0)</f>
        <v>1</v>
      </c>
      <c r="K1216" s="45" t="s">
        <v>1247</v>
      </c>
      <c r="L1216" s="46" t="s">
        <v>1252</v>
      </c>
      <c r="M1216" s="21" t="s">
        <v>1253</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1933</v>
      </c>
      <c r="H1217" s="59" t="str">
        <f>Table1[[#This Row],[Tabela]]&amp;Table1[[#This Row],[Campo]]</f>
        <v>lt827_mthd_usd_instrmntpurpose_code</v>
      </c>
      <c r="I1217" s="2" t="s">
        <v>613</v>
      </c>
      <c r="J1217" s="45">
        <f>VLOOKUP(Table1[[#This Row],[Status]],Auxiliar!$B$16:$C$24,2,0)</f>
        <v>1</v>
      </c>
      <c r="K1217" s="45" t="s">
        <v>1249</v>
      </c>
      <c r="L1217" s="46" t="s">
        <v>1252</v>
      </c>
      <c r="M1217" s="21" t="s">
        <v>1253</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481</v>
      </c>
      <c r="H1218" s="59" t="str">
        <f>Table1[[#This Row],[Tabela]]&amp;Table1[[#This Row],[Campo]]</f>
        <v>lt827_mthd_usd_instrmntflg_fin</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481</v>
      </c>
      <c r="H1219" s="59" t="str">
        <f>Table1[[#This Row],[Tabela]]&amp;Table1[[#This Row],[Campo]]</f>
        <v>lt827_mthd_usd_instrmntflg_fin</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481</v>
      </c>
      <c r="H1220" s="59" t="str">
        <f>Table1[[#This Row],[Tabela]]&amp;Table1[[#This Row],[Campo]]</f>
        <v>lt827_mthd_usd_instrmntflg_fin</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1355</v>
      </c>
      <c r="H1221" s="59" t="str">
        <f>Table1[[#This Row],[Tabela]]&amp;Table1[[#This Row],[Campo]]</f>
        <v>lt827_mthd_usd_instrmntflg_exec</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1355</v>
      </c>
      <c r="H1222" s="59" t="str">
        <f>Table1[[#This Row],[Tabela]]&amp;Table1[[#This Row],[Campo]]</f>
        <v>lt827_mthd_usd_instrmntflg_exec</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1355</v>
      </c>
      <c r="H1223" s="59" t="str">
        <f>Table1[[#This Row],[Tabela]]&amp;Table1[[#This Row],[Campo]]</f>
        <v>lt827_mthd_usd_instrmntflg_exec</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480</v>
      </c>
      <c r="H1224" s="59" t="str">
        <f>Table1[[#This Row],[Tabela]]&amp;Table1[[#This Row],[Campo]]</f>
        <v>lt827_mthd_usd_instrmntflg_col</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480</v>
      </c>
      <c r="H1225" s="59" t="str">
        <f>Table1[[#This Row],[Tabela]]&amp;Table1[[#This Row],[Campo]]</f>
        <v>lt827_mthd_usd_instrmntflg_col</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480</v>
      </c>
      <c r="H1226" s="59" t="str">
        <f>Table1[[#This Row],[Tabela]]&amp;Table1[[#This Row],[Campo]]</f>
        <v>lt827_mthd_usd_instrmntflg_col</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482</v>
      </c>
      <c r="H1227" s="59" t="str">
        <f>Table1[[#This Row],[Tabela]]&amp;Table1[[#This Row],[Campo]]</f>
        <v>lt827_mthd_usd_instrmntflg_pro</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482</v>
      </c>
      <c r="H1228" s="59" t="str">
        <f>Table1[[#This Row],[Tabela]]&amp;Table1[[#This Row],[Campo]]</f>
        <v>lt827_mthd_usd_instrmntflg_pro</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482</v>
      </c>
      <c r="H1229" s="59" t="str">
        <f>Table1[[#This Row],[Tabela]]&amp;Table1[[#This Row],[Campo]]</f>
        <v>lt827_mthd_usd_instrmntflg_pro</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1246</v>
      </c>
      <c r="L1230" s="46" t="s">
        <v>1252</v>
      </c>
      <c r="M1230" s="21" t="s">
        <v>1253</v>
      </c>
      <c r="N1230" s="48">
        <v>45581</v>
      </c>
      <c r="O1230" s="21">
        <f>INDEX(Auxiliar!$D$5:$F$13,MATCH(Table1[[#This Row],[Tipologia_Testes]],Auxiliar!$B$5:$B$13,0),MATCH(Table1[[#This Row],[Complexidade]],Auxiliar!$D$4:$F$4,0))</f>
        <v>2</v>
      </c>
      <c r="P1230" s="43" t="s">
        <v>1335</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1247</v>
      </c>
      <c r="L1231" s="46" t="s">
        <v>1252</v>
      </c>
      <c r="M1231" s="21" t="s">
        <v>1253</v>
      </c>
      <c r="N1231" s="48">
        <v>45581</v>
      </c>
      <c r="O1231" s="21">
        <f>INDEX(Auxiliar!$D$5:$F$13,MATCH(Table1[[#This Row],[Tipologia_Testes]],Auxiliar!$B$5:$B$13,0),MATCH(Table1[[#This Row],[Complexidade]],Auxiliar!$D$4:$F$4,0))</f>
        <v>2</v>
      </c>
      <c r="P1231" s="43" t="s">
        <v>1335</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1249</v>
      </c>
      <c r="L1232" s="46" t="s">
        <v>1252</v>
      </c>
      <c r="M1232" s="21" t="s">
        <v>1253</v>
      </c>
      <c r="N1232" s="48">
        <v>45581</v>
      </c>
      <c r="O1232" s="21">
        <f>INDEX(Auxiliar!$D$5:$F$13,MATCH(Table1[[#This Row],[Tipologia_Testes]],Auxiliar!$B$5:$B$13,0),MATCH(Table1[[#This Row],[Complexidade]],Auxiliar!$D$4:$F$4,0))</f>
        <v>0.1</v>
      </c>
      <c r="P1232" s="43" t="s">
        <v>1335</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1251</v>
      </c>
      <c r="L1257" s="46" t="s">
        <v>1252</v>
      </c>
      <c r="M1257" s="21" t="s">
        <v>1253</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1251</v>
      </c>
      <c r="L1258" s="46" t="s">
        <v>1252</v>
      </c>
      <c r="M1258" s="21" t="s">
        <v>1253</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1251</v>
      </c>
      <c r="L1259" s="46" t="s">
        <v>1252</v>
      </c>
      <c r="M1259" s="21" t="s">
        <v>1253</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1251</v>
      </c>
      <c r="L1260" s="46" t="s">
        <v>1252</v>
      </c>
      <c r="M1260" s="21" t="s">
        <v>1253</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1251</v>
      </c>
      <c r="L1266" s="46" t="s">
        <v>1252</v>
      </c>
      <c r="M1266" s="21" t="s">
        <v>1253</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1251</v>
      </c>
      <c r="L1275" s="46" t="s">
        <v>1252</v>
      </c>
      <c r="M1275" s="21" t="s">
        <v>1253</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1948</v>
      </c>
      <c r="G1276" s="13" t="s">
        <v>419</v>
      </c>
      <c r="H1276" s="59" t="str">
        <f>Table1[[#This Row],[Tabela]]&amp;Table1[[#This Row],[Campo]]</f>
        <v>lt007_instr_activitysstnbl_indctr</v>
      </c>
      <c r="I1276" s="2" t="s">
        <v>613</v>
      </c>
      <c r="J1276" s="45">
        <f>VLOOKUP(Table1[[#This Row],[Status]],Auxiliar!$B$16:$C$24,2,0)</f>
        <v>1</v>
      </c>
      <c r="K1276" s="21" t="s">
        <v>1251</v>
      </c>
      <c r="L1276" s="46" t="s">
        <v>1252</v>
      </c>
      <c r="M1276" s="21" t="s">
        <v>1253</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1948</v>
      </c>
      <c r="G1277" s="13" t="s">
        <v>420</v>
      </c>
      <c r="H1277" s="59" t="str">
        <f>Table1[[#This Row],[Tabela]]&amp;Table1[[#This Row],[Campo]]</f>
        <v>lt007_instr_activitysstnbl_ctgry</v>
      </c>
      <c r="I1277" s="2" t="s">
        <v>615</v>
      </c>
      <c r="J1277" s="45">
        <f>VLOOKUP(Table1[[#This Row],[Status]],Auxiliar!$B$16:$C$24,2,0)</f>
        <v>5</v>
      </c>
      <c r="K1277" s="21" t="s">
        <v>1251</v>
      </c>
      <c r="L1277" s="46" t="s">
        <v>1252</v>
      </c>
      <c r="M1277" s="21" t="s">
        <v>1253</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1921</v>
      </c>
      <c r="J1278" s="45">
        <f>VLOOKUP(Table1[[#This Row],[Status]],Auxiliar!$B$16:$C$24,2,0)</f>
        <v>2</v>
      </c>
      <c r="K1278" s="21" t="s">
        <v>1251</v>
      </c>
      <c r="L1278" s="46" t="s">
        <v>1252</v>
      </c>
      <c r="M1278" s="21" t="s">
        <v>1253</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1921</v>
      </c>
      <c r="J1279" s="45">
        <f>VLOOKUP(Table1[[#This Row],[Status]],Auxiliar!$B$16:$C$24,2,0)</f>
        <v>2</v>
      </c>
      <c r="K1279" s="21" t="s">
        <v>1251</v>
      </c>
      <c r="L1279" s="46" t="s">
        <v>1252</v>
      </c>
      <c r="M1279" s="21" t="s">
        <v>1253</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1921</v>
      </c>
      <c r="J1280" s="45">
        <f>VLOOKUP(Table1[[#This Row],[Status]],Auxiliar!$B$16:$C$24,2,0)</f>
        <v>2</v>
      </c>
      <c r="K1280" s="21" t="s">
        <v>1251</v>
      </c>
      <c r="L1280" s="46" t="s">
        <v>1252</v>
      </c>
      <c r="M1280" s="21" t="s">
        <v>1253</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1251</v>
      </c>
      <c r="L1281" s="46" t="s">
        <v>1252</v>
      </c>
      <c r="M1281" s="21" t="s">
        <v>1253</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1251</v>
      </c>
      <c r="L1282" s="46" t="s">
        <v>1252</v>
      </c>
      <c r="M1282" s="21" t="s">
        <v>1253</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1251</v>
      </c>
      <c r="L1283" s="46" t="s">
        <v>1252</v>
      </c>
      <c r="M1283" s="21" t="s">
        <v>1253</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1251</v>
      </c>
      <c r="L1285" s="46" t="s">
        <v>1252</v>
      </c>
      <c r="M1285" s="21" t="s">
        <v>1253</v>
      </c>
      <c r="N1285" s="48">
        <v>45509</v>
      </c>
      <c r="O1285" s="113">
        <v>0.1</v>
      </c>
      <c r="P1285" s="2" t="s">
        <v>1359</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1251</v>
      </c>
      <c r="L1286" s="46" t="s">
        <v>1252</v>
      </c>
      <c r="M1286" s="21" t="s">
        <v>1253</v>
      </c>
      <c r="N1286" s="48">
        <v>45509</v>
      </c>
      <c r="O1286" s="113">
        <v>0.1</v>
      </c>
      <c r="P1286" s="2" t="s">
        <v>1359</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1251</v>
      </c>
      <c r="L1287" s="46" t="s">
        <v>1252</v>
      </c>
      <c r="M1287" s="21" t="s">
        <v>1253</v>
      </c>
      <c r="N1287" s="48">
        <v>45509</v>
      </c>
      <c r="O1287" s="113">
        <v>0.1</v>
      </c>
      <c r="P1287" s="2" t="s">
        <v>1359</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1251</v>
      </c>
      <c r="L1292" s="46" t="s">
        <v>1252</v>
      </c>
      <c r="M1292" s="21" t="s">
        <v>1253</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390" t="s">
        <v>1351</v>
      </c>
      <c r="E1293" s="112" t="s">
        <v>1353</v>
      </c>
      <c r="F1293" s="40" t="s">
        <v>369</v>
      </c>
      <c r="G1293" s="394" t="s">
        <v>375</v>
      </c>
      <c r="H1293" s="395" t="str">
        <f>Table1[[#This Row],[Tabela]]&amp;Table1[[#This Row],[Campo]]</f>
        <v>lt004_protectionemssns_scp2_prtctn</v>
      </c>
      <c r="I1293" s="2" t="s">
        <v>613</v>
      </c>
      <c r="J1293" s="45">
        <f>VLOOKUP(Table1[[#This Row],[Status]],Auxiliar!$B$16:$C$24,2,0)</f>
        <v>1</v>
      </c>
      <c r="K1293" s="46" t="s">
        <v>1246</v>
      </c>
      <c r="L1293" s="46" t="s">
        <v>1252</v>
      </c>
      <c r="M1293" s="21" t="s">
        <v>1253</v>
      </c>
      <c r="N1293" s="48">
        <v>45667</v>
      </c>
      <c r="O1293" s="21">
        <f>INDEX(Auxiliar!$D$5:$F$13,MATCH(Table1[[#This Row],[Tipologia_Testes]],Auxiliar!$B$5:$B$13,0),MATCH(Table1[[#This Row],[Complexidade]],Auxiliar!$D$4:$F$4,0))</f>
        <v>2</v>
      </c>
      <c r="P1293" s="43" t="s">
        <v>1338</v>
      </c>
      <c r="Q1293" s="152"/>
      <c r="R1293" s="152">
        <v>45622</v>
      </c>
      <c r="S1293" s="152"/>
      <c r="T1293" s="152"/>
      <c r="U1293" s="152">
        <v>45631</v>
      </c>
      <c r="V1293" s="152">
        <v>45631</v>
      </c>
      <c r="W1293" s="2">
        <f>VLOOKUP(Table1[[#This Row],[Status]],Auxiliar!$B$16:$D$24,3,0)*Table1[[#This Row],[Estimação (horas)]]</f>
        <v>2</v>
      </c>
      <c r="X1293" s="114"/>
    </row>
    <row r="1294" spans="2:24" ht="17.7" hidden="1" customHeight="1">
      <c r="B1294" s="39" t="s">
        <v>26</v>
      </c>
      <c r="C1294" s="39" t="s">
        <v>26</v>
      </c>
      <c r="D1294" s="41" t="s">
        <v>1351</v>
      </c>
      <c r="E1294" s="47" t="s">
        <v>1353</v>
      </c>
      <c r="F1294" s="43" t="s">
        <v>369</v>
      </c>
      <c r="G1294" s="41" t="s">
        <v>375</v>
      </c>
      <c r="H1294" s="59" t="str">
        <f>Table1[[#This Row],[Tabela]]&amp;Table1[[#This Row],[Campo]]</f>
        <v>lt004_protectionemssns_scp2_prtctn</v>
      </c>
      <c r="I1294" s="2" t="s">
        <v>613</v>
      </c>
      <c r="J1294" s="45">
        <f>VLOOKUP(Table1[[#This Row],[Status]],Auxiliar!$B$16:$C$24,2,0)</f>
        <v>1</v>
      </c>
      <c r="K1294" s="46" t="s">
        <v>1247</v>
      </c>
      <c r="L1294" s="46" t="s">
        <v>1252</v>
      </c>
      <c r="M1294" s="21" t="s">
        <v>1253</v>
      </c>
      <c r="N1294" s="48">
        <v>45667</v>
      </c>
      <c r="O1294" s="21">
        <f>INDEX(Auxiliar!$D$5:$F$13,MATCH(Table1[[#This Row],[Tipologia_Testes]],Auxiliar!$B$5:$B$13,0),MATCH(Table1[[#This Row],[Complexidade]],Auxiliar!$D$4:$F$4,0))</f>
        <v>2</v>
      </c>
      <c r="P1294" s="43" t="s">
        <v>1338</v>
      </c>
      <c r="Q1294" s="152"/>
      <c r="R1294" s="152">
        <v>45622</v>
      </c>
      <c r="S1294" s="152"/>
      <c r="T1294" s="152"/>
      <c r="U1294" s="152">
        <v>45631</v>
      </c>
      <c r="V1294" s="152">
        <v>45631</v>
      </c>
      <c r="W1294" s="2">
        <f>VLOOKUP(Table1[[#This Row],[Status]],Auxiliar!$B$16:$D$24,3,0)*Table1[[#This Row],[Estimação (horas)]]</f>
        <v>2</v>
      </c>
      <c r="X1294" s="114"/>
    </row>
    <row r="1295" spans="2:24" ht="17.7" hidden="1" customHeight="1">
      <c r="B1295" s="39" t="s">
        <v>26</v>
      </c>
      <c r="C1295" s="39" t="s">
        <v>26</v>
      </c>
      <c r="D1295" s="41" t="s">
        <v>1351</v>
      </c>
      <c r="E1295" s="47" t="s">
        <v>1353</v>
      </c>
      <c r="F1295" s="43" t="s">
        <v>369</v>
      </c>
      <c r="G1295" s="41" t="s">
        <v>375</v>
      </c>
      <c r="H1295" s="59" t="str">
        <f>Table1[[#This Row],[Tabela]]&amp;Table1[[#This Row],[Campo]]</f>
        <v>lt004_protectionemssns_scp2_prtctn</v>
      </c>
      <c r="I1295" s="2" t="s">
        <v>613</v>
      </c>
      <c r="J1295" s="45">
        <f>VLOOKUP(Table1[[#This Row],[Status]],Auxiliar!$B$16:$C$24,2,0)</f>
        <v>1</v>
      </c>
      <c r="K1295" s="46" t="s">
        <v>1249</v>
      </c>
      <c r="L1295" s="46" t="s">
        <v>1252</v>
      </c>
      <c r="M1295" s="21" t="s">
        <v>1253</v>
      </c>
      <c r="N1295" s="48">
        <v>45667</v>
      </c>
      <c r="O1295" s="21">
        <f>INDEX(Auxiliar!$D$5:$F$13,MATCH(Table1[[#This Row],[Tipologia_Testes]],Auxiliar!$B$5:$B$13,0),MATCH(Table1[[#This Row],[Complexidade]],Auxiliar!$D$4:$F$4,0))</f>
        <v>0.1</v>
      </c>
      <c r="P1295" s="43" t="s">
        <v>1338</v>
      </c>
      <c r="Q1295" s="152"/>
      <c r="R1295" s="152">
        <v>45622</v>
      </c>
      <c r="S1295" s="152"/>
      <c r="T1295" s="152"/>
      <c r="U1295" s="152">
        <v>45631</v>
      </c>
      <c r="V1295" s="152">
        <v>45631</v>
      </c>
      <c r="W1295" s="2">
        <f>VLOOKUP(Table1[[#This Row],[Status]],Auxiliar!$B$16:$D$24,3,0)*Table1[[#This Row],[Estimação (horas)]]</f>
        <v>0.1</v>
      </c>
      <c r="X1295" s="114"/>
    </row>
    <row r="1296" spans="2:24" ht="17.7" hidden="1" customHeight="1">
      <c r="B1296" s="39" t="s">
        <v>26</v>
      </c>
      <c r="C1296" s="39" t="s">
        <v>26</v>
      </c>
      <c r="D1296" s="390" t="s">
        <v>1351</v>
      </c>
      <c r="E1296" s="112" t="s">
        <v>1352</v>
      </c>
      <c r="F1296" s="40" t="s">
        <v>369</v>
      </c>
      <c r="G1296" s="394" t="s">
        <v>374</v>
      </c>
      <c r="H1296" s="395" t="str">
        <f>Table1[[#This Row],[Tabela]]&amp;Table1[[#This Row],[Campo]]</f>
        <v>lt004_protectionemssns_scp1_prtctn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43"/>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1352</v>
      </c>
      <c r="F1297" s="43" t="s">
        <v>369</v>
      </c>
      <c r="G1297" s="41" t="s">
        <v>374</v>
      </c>
      <c r="H1297" s="59" t="str">
        <f>Table1[[#This Row],[Tabela]]&amp;Table1[[#This Row],[Campo]]</f>
        <v>lt004_protectionemssns_scp1_prtctn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43"/>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1352</v>
      </c>
      <c r="F1298" s="43" t="s">
        <v>369</v>
      </c>
      <c r="G1298" s="41" t="s">
        <v>374</v>
      </c>
      <c r="H1298" s="59" t="str">
        <f>Table1[[#This Row],[Tabela]]&amp;Table1[[#This Row],[Campo]]</f>
        <v>lt004_protectionemssns_scp1_prtctn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43"/>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13" t="s">
        <v>400</v>
      </c>
      <c r="E1299" s="112" t="s">
        <v>38</v>
      </c>
      <c r="F1299" s="2" t="s">
        <v>369</v>
      </c>
      <c r="G1299" s="13" t="s">
        <v>399</v>
      </c>
      <c r="H1299" s="59" t="str">
        <f>Table1[[#This Row],[Tabela]]&amp;Table1[[#This Row],[Campo]]</f>
        <v>lt004_protectiondt_rfrnc</v>
      </c>
      <c r="I1299" s="2" t="s">
        <v>613</v>
      </c>
      <c r="J1299" s="45">
        <f>VLOOKUP(Table1[[#This Row],[Status]],Auxiliar!$B$16:$C$24,2,0)</f>
        <v>1</v>
      </c>
      <c r="K1299" s="21" t="s">
        <v>1251</v>
      </c>
      <c r="L1299" s="46" t="s">
        <v>1252</v>
      </c>
      <c r="M1299" s="21" t="s">
        <v>1253</v>
      </c>
      <c r="N1299" s="48">
        <v>45509</v>
      </c>
      <c r="O1299" s="113">
        <v>0.1</v>
      </c>
      <c r="P1299" s="2"/>
      <c r="Q1299" s="152"/>
      <c r="R1299" s="152"/>
      <c r="S1299" s="152"/>
      <c r="T1299" s="152"/>
      <c r="U1299" s="152"/>
      <c r="V1299" s="152"/>
      <c r="W1299" s="2">
        <f>VLOOKUP(Table1[[#This Row],[Status]],Auxiliar!$B$16:$D$24,3,0)*Table1[[#This Row],[Estimação (horas)]]</f>
        <v>0.1</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1251</v>
      </c>
      <c r="L1300" s="46" t="s">
        <v>1252</v>
      </c>
      <c r="M1300" s="21" t="s">
        <v>1253</v>
      </c>
      <c r="N1300" s="48">
        <v>45590</v>
      </c>
      <c r="O1300" s="113">
        <v>0.1</v>
      </c>
      <c r="P1300" s="32" t="s">
        <v>1335</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1251</v>
      </c>
      <c r="L1301" s="46" t="s">
        <v>1252</v>
      </c>
      <c r="M1301" s="21" t="s">
        <v>1253</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1251</v>
      </c>
      <c r="L1302" s="46" t="s">
        <v>1252</v>
      </c>
      <c r="M1302" s="21" t="s">
        <v>1253</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1251</v>
      </c>
      <c r="L1303" s="46" t="s">
        <v>1252</v>
      </c>
      <c r="M1303" s="21" t="s">
        <v>1253</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1251</v>
      </c>
      <c r="L1306" s="46" t="s">
        <v>1252</v>
      </c>
      <c r="M1306" s="21" t="s">
        <v>1253</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1251</v>
      </c>
      <c r="L1307" s="46" t="s">
        <v>1252</v>
      </c>
      <c r="M1307" s="21" t="s">
        <v>1253</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1251</v>
      </c>
      <c r="L1308" s="46" t="s">
        <v>1252</v>
      </c>
      <c r="M1308" s="21" t="s">
        <v>1253</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1251</v>
      </c>
      <c r="L1310" s="46" t="s">
        <v>1252</v>
      </c>
      <c r="M1310" s="21" t="s">
        <v>1253</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1296</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1257</v>
      </c>
      <c r="L1311" s="21" t="s">
        <v>1264</v>
      </c>
      <c r="M1311" s="21" t="s">
        <v>1253</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1296</v>
      </c>
      <c r="E1312" s="2" t="s">
        <v>38</v>
      </c>
      <c r="F1312" s="2" t="s">
        <v>219</v>
      </c>
      <c r="G1312" s="13" t="s">
        <v>660</v>
      </c>
      <c r="H1312" s="59" t="str">
        <f>Table1[[#This Row],[Tabela]]&amp;Table1[[#This Row],[Campo]]</f>
        <v>modesg_inp_emss_nacearea_atividade</v>
      </c>
      <c r="I1312" s="2" t="s">
        <v>612</v>
      </c>
      <c r="J1312" s="45">
        <f>VLOOKUP(Table1[[#This Row],[Status]],Auxiliar!$B$16:$C$24,2,0)</f>
        <v>0</v>
      </c>
      <c r="K1312" s="21" t="s">
        <v>1257</v>
      </c>
      <c r="L1312" s="21" t="s">
        <v>1264</v>
      </c>
      <c r="M1312" s="21" t="s">
        <v>1253</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1296</v>
      </c>
      <c r="E1313" s="2" t="s">
        <v>38</v>
      </c>
      <c r="F1313" s="2" t="s">
        <v>219</v>
      </c>
      <c r="G1313" s="13" t="s">
        <v>661</v>
      </c>
      <c r="H1313" s="59" t="str">
        <f>Table1[[#This Row],[Tabela]]&amp;Table1[[#This Row],[Campo]]</f>
        <v>modesg_inp_emss_nacetipo_atividade</v>
      </c>
      <c r="I1313" s="2" t="s">
        <v>612</v>
      </c>
      <c r="J1313" s="45">
        <f>VLOOKUP(Table1[[#This Row],[Status]],Auxiliar!$B$16:$C$24,2,0)</f>
        <v>0</v>
      </c>
      <c r="K1313" s="21" t="s">
        <v>1257</v>
      </c>
      <c r="L1313" s="21" t="s">
        <v>1264</v>
      </c>
      <c r="M1313" s="21" t="s">
        <v>1253</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1296</v>
      </c>
      <c r="E1314" s="2" t="s">
        <v>38</v>
      </c>
      <c r="F1314" s="2" t="s">
        <v>219</v>
      </c>
      <c r="G1314" s="13" t="s">
        <v>662</v>
      </c>
      <c r="H1314" s="59" t="str">
        <f>Table1[[#This Row],[Tabela]]&amp;Table1[[#This Row],[Campo]]</f>
        <v>modesg_inp_emss_nacesub_tipo_atividade_1</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663</v>
      </c>
      <c r="H1315" s="59" t="str">
        <f>Table1[[#This Row],[Tabela]]&amp;Table1[[#This Row],[Campo]]</f>
        <v>modesg_inp_emss_nacesub_tipo_atividade_2</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664</v>
      </c>
      <c r="H1316" s="59" t="str">
        <f>Table1[[#This Row],[Tabela]]&amp;Table1[[#This Row],[Campo]]</f>
        <v>modesg_inp_emss_naceunidades_unidade_funcional</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665</v>
      </c>
      <c r="H1317" s="59" t="str">
        <f>Table1[[#This Row],[Tabela]]&amp;Table1[[#This Row],[Campo]]</f>
        <v>modesg_inp_emss_nacefator_emissao</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214</v>
      </c>
      <c r="G1318" s="13" t="s">
        <v>666</v>
      </c>
      <c r="H1318" s="59" t="str">
        <f>Table1[[#This Row],[Tabela]]&amp;Table1[[#This Row],[Campo]]</f>
        <v>modesg_inp_km_medios_emss_vclsmedia_scp1_emss</v>
      </c>
      <c r="I1318" s="2" t="s">
        <v>612</v>
      </c>
      <c r="J1318" s="45">
        <f>VLOOKUP(Table1[[#This Row],[Status]],Auxiliar!$B$16:$C$24,2,0)</f>
        <v>0</v>
      </c>
      <c r="K1318" s="21" t="s">
        <v>1257</v>
      </c>
      <c r="L1318" s="21" t="s">
        <v>1264</v>
      </c>
      <c r="M1318" s="21" t="s">
        <v>1253</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214</v>
      </c>
      <c r="G1319" s="13" t="s">
        <v>667</v>
      </c>
      <c r="H1319" s="59" t="str">
        <f>Table1[[#This Row],[Tabela]]&amp;Table1[[#This Row],[Campo]]</f>
        <v>modesg_inp_km_medios_emss_vclsmedia_scp2_emss</v>
      </c>
      <c r="I1319" s="2" t="s">
        <v>612</v>
      </c>
      <c r="J1319" s="45">
        <f>VLOOKUP(Table1[[#This Row],[Status]],Auxiliar!$B$16:$C$24,2,0)</f>
        <v>0</v>
      </c>
      <c r="K1319" s="21" t="s">
        <v>1257</v>
      </c>
      <c r="L1319" s="21" t="s">
        <v>1264</v>
      </c>
      <c r="M1319" s="21" t="s">
        <v>1253</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1296</v>
      </c>
      <c r="E1320" s="2" t="s">
        <v>38</v>
      </c>
      <c r="F1320" s="32" t="s">
        <v>214</v>
      </c>
      <c r="G1320" s="20" t="s">
        <v>668</v>
      </c>
      <c r="H1320" s="59" t="str">
        <f>Table1[[#This Row],[Tabela]]&amp;Table1[[#This Row],[Campo]]</f>
        <v>modesg_inp_km_medios_emss_vclsmedia_scp3_emss</v>
      </c>
      <c r="I1320" s="2" t="s">
        <v>612</v>
      </c>
      <c r="J1320" s="45">
        <f>VLOOKUP(Table1[[#This Row],[Status]],Auxiliar!$B$16:$C$24,2,0)</f>
        <v>0</v>
      </c>
      <c r="K1320" s="21" t="s">
        <v>1257</v>
      </c>
      <c r="L1320" s="21" t="s">
        <v>1264</v>
      </c>
      <c r="M1320" s="21" t="s">
        <v>1253</v>
      </c>
      <c r="N1320" s="48">
        <v>45491</v>
      </c>
      <c r="O1320" s="21">
        <f>INDEX(Auxiliar!$D$5:$F$13,MATCH(Table1[[#This Row],[Tipologia_Testes]],Auxiliar!$B$5:$B$13,0),MATCH(Table1[[#This Row],[Complexidade]],Auxiliar!$D$4:$F$4,0))</f>
        <v>0.5</v>
      </c>
      <c r="P1320" s="2" t="s">
        <v>1266</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45" operator="containsText" id="{F0FC3167-D078-4732-B252-F6CF35A33118}">
            <xm:f>NOT(ISERROR(SEARCH(Auxiliar!$B$21,I127)))</xm:f>
            <xm:f>Auxiliar!$B$21</xm:f>
            <x14:dxf>
              <font>
                <b/>
                <i val="0"/>
                <color rgb="FFFFC000"/>
              </font>
              <fill>
                <patternFill>
                  <bgColor theme="9" tint="0.59996337778862885"/>
                </patternFill>
              </fill>
            </x14:dxf>
          </x14:cfRule>
          <x14:cfRule type="cellIs" priority="146" operator="equal" id="{0DF84132-7044-4342-A136-5BB25A806900}">
            <xm:f>Auxiliar!$B$24</xm:f>
            <x14:dxf>
              <font>
                <b/>
                <i val="0"/>
                <color theme="1"/>
              </font>
              <fill>
                <patternFill patternType="darkUp">
                  <bgColor theme="0"/>
                </patternFill>
              </fill>
            </x14:dxf>
          </x14:cfRule>
          <x14:cfRule type="cellIs" priority="147" operator="equal" id="{0AA668F3-08F2-48AD-824F-FDAAFE4C3390}">
            <xm:f>Auxiliar!$B$18</xm:f>
            <x14:dxf>
              <font>
                <b/>
                <i val="0"/>
                <color theme="0" tint="-0.499984740745262"/>
              </font>
              <fill>
                <patternFill>
                  <bgColor theme="0" tint="-4.9989318521683403E-2"/>
                </patternFill>
              </fill>
            </x14:dxf>
          </x14:cfRule>
          <x14:cfRule type="containsText" priority="148"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49"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50"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97" operator="containsText" id="{740F90F7-AB92-479A-85BF-13BAB76C3411}">
            <xm:f>NOT(ISERROR(SEARCH(Auxiliar!$B$21,I1014)))</xm:f>
            <xm:f>Auxiliar!$B$21</xm:f>
            <x14:dxf>
              <font>
                <b/>
                <i val="0"/>
                <color rgb="FFFFC000"/>
              </font>
              <fill>
                <patternFill>
                  <bgColor theme="9" tint="0.59996337778862885"/>
                </patternFill>
              </fill>
            </x14:dxf>
          </x14:cfRule>
          <x14:cfRule type="cellIs" priority="98" operator="equal" id="{88AE8B12-357A-4B8A-9319-781057D8ABD6}">
            <xm:f>Auxiliar!$B$24</xm:f>
            <x14:dxf>
              <font>
                <b/>
                <i val="0"/>
                <color theme="1"/>
              </font>
              <fill>
                <patternFill patternType="darkUp">
                  <bgColor theme="0"/>
                </patternFill>
              </fill>
            </x14:dxf>
          </x14:cfRule>
          <x14:cfRule type="cellIs" priority="99" operator="equal" id="{BC303029-A698-4297-8685-4F827375138C}">
            <xm:f>Auxiliar!$B$18</xm:f>
            <x14:dxf>
              <font>
                <b/>
                <i val="0"/>
                <color theme="0" tint="-0.499984740745262"/>
              </font>
              <fill>
                <patternFill>
                  <bgColor theme="0" tint="-4.9989318521683403E-2"/>
                </patternFill>
              </fill>
            </x14:dxf>
          </x14:cfRule>
          <x14:cfRule type="containsText" priority="100"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101"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102"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9" operator="containsText" id="{F48B2BF5-6845-4309-99E8-30933C9EE615}">
            <xm:f>NOT(ISERROR(SEARCH(Auxiliar!$B$21,I1080)))</xm:f>
            <xm:f>Auxiliar!$B$21</xm:f>
            <x14:dxf>
              <font>
                <b/>
                <i val="0"/>
                <color rgb="FFFFC000"/>
              </font>
              <fill>
                <patternFill>
                  <bgColor theme="9" tint="0.59996337778862885"/>
                </patternFill>
              </fill>
            </x14:dxf>
          </x14:cfRule>
          <x14:cfRule type="cellIs" priority="80" operator="equal" id="{13D25AAA-9E27-4596-8161-C1D8B229FB78}">
            <xm:f>Auxiliar!$B$24</xm:f>
            <x14:dxf>
              <font>
                <b/>
                <i val="0"/>
                <color theme="1"/>
              </font>
              <fill>
                <patternFill patternType="darkUp">
                  <bgColor theme="0"/>
                </patternFill>
              </fill>
            </x14:dxf>
          </x14:cfRule>
          <x14:cfRule type="cellIs" priority="81" operator="equal" id="{22B4EADE-6286-4A66-8996-D7CA931879E6}">
            <xm:f>Auxiliar!$B$18</xm:f>
            <x14:dxf>
              <font>
                <b/>
                <i val="0"/>
                <color theme="0" tint="-0.499984740745262"/>
              </font>
              <fill>
                <patternFill>
                  <bgColor theme="0" tint="-4.9989318521683403E-2"/>
                </patternFill>
              </fill>
            </x14:dxf>
          </x14:cfRule>
          <x14:cfRule type="containsText" priority="82"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83"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84" operator="containsText" id="{5D1F0C29-4DCB-4FAB-A3CE-17A3E4B54DB4}">
            <xm:f>NOT(ISERROR(SEARCH(Auxiliar!$B$16,I1080)))</xm:f>
            <xm:f>Auxiliar!$B$16</xm:f>
            <x14:dxf>
              <font>
                <b/>
                <i val="0"/>
                <color theme="7"/>
              </font>
              <fill>
                <patternFill>
                  <bgColor theme="7" tint="0.79998168889431442"/>
                </patternFill>
              </fill>
            </x14:dxf>
          </x14:cfRule>
          <xm:sqref>I1080:I1097 I1110:I1145</xm:sqref>
        </x14:conditionalFormatting>
        <x14:conditionalFormatting xmlns:xm="http://schemas.microsoft.com/office/excel/2006/main">
          <x14:cfRule type="containsText" priority="73" operator="containsText" id="{5ED364A6-7788-43B4-ABBB-E3185B87783C}">
            <xm:f>NOT(ISERROR(SEARCH(Auxiliar!$B$21,I1170)))</xm:f>
            <xm:f>Auxiliar!$B$21</xm:f>
            <x14:dxf>
              <font>
                <b/>
                <i val="0"/>
                <color rgb="FFFFC000"/>
              </font>
              <fill>
                <patternFill>
                  <bgColor theme="9" tint="0.59996337778862885"/>
                </patternFill>
              </fill>
            </x14:dxf>
          </x14:cfRule>
          <x14:cfRule type="cellIs" priority="74" operator="equal" id="{CC216F48-AEAC-42B0-BAEF-B859E88448DD}">
            <xm:f>Auxiliar!$B$24</xm:f>
            <x14:dxf>
              <font>
                <b/>
                <i val="0"/>
                <color theme="1"/>
              </font>
              <fill>
                <patternFill patternType="darkUp">
                  <bgColor theme="0"/>
                </patternFill>
              </fill>
            </x14:dxf>
          </x14:cfRule>
          <x14:cfRule type="cellIs" priority="75" operator="equal" id="{23819E92-56C5-4D3E-B9E1-67FDD9E7882C}">
            <xm:f>Auxiliar!$B$18</xm:f>
            <x14:dxf>
              <font>
                <b/>
                <i val="0"/>
                <color theme="0" tint="-0.499984740745262"/>
              </font>
              <fill>
                <patternFill>
                  <bgColor theme="0" tint="-4.9989318521683403E-2"/>
                </patternFill>
              </fill>
            </x14:dxf>
          </x14:cfRule>
          <x14:cfRule type="containsText" priority="76"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77"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78"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79"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I1257:J1277 J1152:J1154 I1146:J1151 I1155:J1169 I347:J1013</xm:sqref>
        </x14:conditionalFormatting>
        <x14:conditionalFormatting xmlns:xm="http://schemas.microsoft.com/office/excel/2006/main">
          <x14:cfRule type="containsText" priority="121" operator="containsText" id="{818B4E3F-A611-4A6A-A815-B804D1E3C747}">
            <xm:f>NOT(ISERROR(SEARCH(Auxiliar!$B$21,I1186)))</xm:f>
            <xm:f>Auxiliar!$B$21</xm:f>
            <x14:dxf>
              <font>
                <b/>
                <i val="0"/>
                <color rgb="FFFFC000"/>
              </font>
              <fill>
                <patternFill>
                  <bgColor theme="9" tint="0.59996337778862885"/>
                </patternFill>
              </fill>
            </x14:dxf>
          </x14:cfRule>
          <x14:cfRule type="cellIs" priority="122" operator="equal" id="{49F42230-2FF0-42CE-B047-38469DF4FF91}">
            <xm:f>Auxiliar!$B$24</xm:f>
            <x14:dxf>
              <font>
                <b/>
                <i val="0"/>
                <color theme="1"/>
              </font>
              <fill>
                <patternFill patternType="darkUp">
                  <bgColor theme="0"/>
                </patternFill>
              </fill>
            </x14:dxf>
          </x14:cfRule>
          <x14:cfRule type="cellIs" priority="123" operator="equal" id="{340814F4-4DC4-4851-925E-2EA110D79ECA}">
            <xm:f>Auxiliar!$B$18</xm:f>
            <x14:dxf>
              <font>
                <b/>
                <i val="0"/>
                <color theme="0" tint="-0.499984740745262"/>
              </font>
              <fill>
                <patternFill>
                  <bgColor theme="0" tint="-4.9989318521683403E-2"/>
                </patternFill>
              </fill>
            </x14:dxf>
          </x14:cfRule>
          <x14:cfRule type="containsText" priority="124"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125"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126"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535" operator="containsText" id="{EA64DC1C-861B-48F8-9621-E598024B99B0}">
            <xm:f>NOT(ISERROR(SEARCH(Auxiliar!$B$21,I1294)))</xm:f>
            <xm:f>Auxiliar!$B$21</xm:f>
            <x14:dxf>
              <font>
                <b/>
                <i val="0"/>
                <color rgb="FFFFC000"/>
              </font>
              <fill>
                <patternFill>
                  <bgColor theme="9" tint="0.59996337778862885"/>
                </patternFill>
              </fill>
            </x14:dxf>
          </x14:cfRule>
          <x14:cfRule type="cellIs" priority="536" operator="equal" id="{839A85C4-8947-4392-8D52-FE7821AB5714}">
            <xm:f>Auxiliar!$B$24</xm:f>
            <x14:dxf>
              <font>
                <b/>
                <i val="0"/>
                <color theme="1"/>
              </font>
              <fill>
                <patternFill patternType="darkUp">
                  <bgColor theme="0"/>
                </patternFill>
              </fill>
            </x14:dxf>
          </x14:cfRule>
          <x14:cfRule type="cellIs" priority="537" operator="equal" id="{AFCEA854-203F-4E0E-9E0B-A825AA0A5D6E}">
            <xm:f>Auxiliar!$B$18</xm:f>
            <x14:dxf>
              <font>
                <b/>
                <i val="0"/>
                <color theme="0" tint="-0.499984740745262"/>
              </font>
              <fill>
                <patternFill>
                  <bgColor theme="0" tint="-4.9989318521683403E-2"/>
                </patternFill>
              </fill>
            </x14:dxf>
          </x14:cfRule>
          <x14:cfRule type="containsText" priority="538"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39"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40"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529" operator="containsText" id="{22EE3303-E871-4FDC-B876-3AC40B4BB29E}">
            <xm:f>NOT(ISERROR(SEARCH(Auxiliar!$B$21,I9)))</xm:f>
            <xm:f>Auxiliar!$B$21</xm:f>
            <x14:dxf>
              <font>
                <b/>
                <i val="0"/>
                <color rgb="FFFFC000"/>
              </font>
              <fill>
                <patternFill>
                  <bgColor theme="9" tint="0.59996337778862885"/>
                </patternFill>
              </fill>
            </x14:dxf>
          </x14:cfRule>
          <x14:cfRule type="cellIs" priority="530" operator="equal" id="{A75C795E-F66D-4DC2-A9AF-15BDCED7DA25}">
            <xm:f>Auxiliar!$B$24</xm:f>
            <x14:dxf>
              <font>
                <b/>
                <i val="0"/>
                <color theme="1"/>
              </font>
              <fill>
                <patternFill patternType="darkUp">
                  <bgColor theme="0"/>
                </patternFill>
              </fill>
            </x14:dxf>
          </x14:cfRule>
          <x14:cfRule type="cellIs" priority="531" operator="equal" id="{68C7A1CE-73C7-4D91-A2AC-1493C4E277DD}">
            <xm:f>Auxiliar!$B$18</xm:f>
            <x14:dxf>
              <font>
                <b/>
                <i val="0"/>
                <color theme="0" tint="-0.499984740745262"/>
              </font>
              <fill>
                <patternFill>
                  <bgColor theme="0" tint="-4.9989318521683403E-2"/>
                </patternFill>
              </fill>
            </x14:dxf>
          </x14:cfRule>
          <x14:cfRule type="containsText" priority="53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3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34"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13" operator="containsText" id="{6928D489-0130-4A60-BE2B-1D9108B02454}">
            <xm:f>NOT(ISERROR(SEARCH(Auxiliar!$B$21,I130)))</xm:f>
            <xm:f>Auxiliar!$B$21</xm:f>
            <x14:dxf>
              <font>
                <b/>
                <i val="0"/>
                <color rgb="FFFFC000"/>
              </font>
              <fill>
                <patternFill>
                  <bgColor theme="9" tint="0.59996337778862885"/>
                </patternFill>
              </fill>
            </x14:dxf>
          </x14:cfRule>
          <x14:cfRule type="cellIs" priority="614" operator="equal" id="{E2F14AF0-878C-4184-86EE-1EC72D11FF82}">
            <xm:f>Auxiliar!$B$24</xm:f>
            <x14:dxf>
              <font>
                <b/>
                <i val="0"/>
                <color theme="1"/>
              </font>
              <fill>
                <patternFill patternType="darkUp">
                  <bgColor theme="0"/>
                </patternFill>
              </fill>
            </x14:dxf>
          </x14:cfRule>
          <x14:cfRule type="cellIs" priority="615" operator="equal" id="{662C2D77-73A6-422E-B043-D39190EAAFD3}">
            <xm:f>Auxiliar!$B$18</xm:f>
            <x14:dxf>
              <font>
                <b/>
                <i val="0"/>
                <color theme="0" tint="-0.499984740745262"/>
              </font>
              <fill>
                <patternFill>
                  <bgColor theme="0" tint="-4.9989318521683403E-2"/>
                </patternFill>
              </fill>
            </x14:dxf>
          </x14:cfRule>
          <x14:cfRule type="containsText" priority="616"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17"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18"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80" operator="equal" id="{461BEC2A-3AB6-4974-9160-0CC657CD83C0}">
            <xm:f>Auxiliar!$B$24</xm:f>
            <x14:dxf>
              <font>
                <b/>
                <i val="0"/>
                <color theme="1"/>
              </font>
              <fill>
                <patternFill patternType="darkUp">
                  <bgColor theme="0"/>
                </patternFill>
              </fill>
            </x14:dxf>
          </x14:cfRule>
          <x14:cfRule type="cellIs" priority="1147" operator="equal" id="{5CC18A3F-CC0C-4983-A19C-E91C49A3DB8A}">
            <xm:f>Auxiliar!$B$18</xm:f>
            <x14:dxf>
              <font>
                <b/>
                <i val="0"/>
                <color theme="0" tint="-0.499984740745262"/>
              </font>
              <fill>
                <patternFill>
                  <bgColor theme="0" tint="-4.9989318521683403E-2"/>
                </patternFill>
              </fill>
            </x14:dxf>
          </x14:cfRule>
          <x14:cfRule type="containsText" priority="1148"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49"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50"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I1257:J1277 J1152:J1154 I1146:J1151 I1155:J1169 I347:J1013</xm:sqref>
        </x14:conditionalFormatting>
        <x14:conditionalFormatting xmlns:xm="http://schemas.microsoft.com/office/excel/2006/main">
          <x14:cfRule type="containsText" priority="505" operator="containsText" id="{B9BA2292-98F1-4845-8262-A781D9352444}">
            <xm:f>NOT(ISERROR(SEARCH(Auxiliar!$B$21,J127)))</xm:f>
            <xm:f>Auxiliar!$B$21</xm:f>
            <x14:dxf>
              <font>
                <b/>
                <i val="0"/>
                <color rgb="FFFFC000"/>
              </font>
              <fill>
                <patternFill>
                  <bgColor theme="9" tint="0.59996337778862885"/>
                </patternFill>
              </fill>
            </x14:dxf>
          </x14:cfRule>
          <x14:cfRule type="cellIs" priority="506" operator="equal" id="{D32B9961-C82B-426A-A975-2475FFC80C76}">
            <xm:f>Auxiliar!$B$24</xm:f>
            <x14:dxf>
              <font>
                <b/>
                <i val="0"/>
                <color theme="1"/>
              </font>
              <fill>
                <patternFill patternType="darkUp">
                  <bgColor theme="0"/>
                </patternFill>
              </fill>
            </x14:dxf>
          </x14:cfRule>
          <x14:cfRule type="cellIs" priority="507" operator="equal" id="{EE9F5D7D-A515-4B4F-859E-E804329C9CE0}">
            <xm:f>Auxiliar!$B$18</xm:f>
            <x14:dxf>
              <font>
                <b/>
                <i val="0"/>
                <color theme="0" tint="-0.499984740745262"/>
              </font>
              <fill>
                <patternFill>
                  <bgColor theme="0" tint="-4.9989318521683403E-2"/>
                </patternFill>
              </fill>
            </x14:dxf>
          </x14:cfRule>
          <x14:cfRule type="containsText" priority="508"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09"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10"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31" operator="containsText" id="{576165AC-18FE-49D8-90D0-249BF5B7AAD2}">
            <xm:f>NOT(ISERROR(SEARCH(Auxiliar!$B$21,J326)))</xm:f>
            <xm:f>Auxiliar!$B$21</xm:f>
            <x14:dxf>
              <font>
                <b/>
                <i val="0"/>
                <color rgb="FFFFC000"/>
              </font>
              <fill>
                <patternFill>
                  <bgColor theme="9" tint="0.59996337778862885"/>
                </patternFill>
              </fill>
            </x14:dxf>
          </x14:cfRule>
          <x14:cfRule type="cellIs" priority="632" operator="equal" id="{2BEF1854-999B-428C-B198-117A6D75B6CF}">
            <xm:f>Auxiliar!$B$24</xm:f>
            <x14:dxf>
              <font>
                <b/>
                <i val="0"/>
                <color theme="1"/>
              </font>
              <fill>
                <patternFill patternType="darkUp">
                  <bgColor theme="0"/>
                </patternFill>
              </fill>
            </x14:dxf>
          </x14:cfRule>
          <x14:cfRule type="cellIs" priority="633" operator="equal" id="{82150E9C-7DB3-4C92-B25A-09099C09088C}">
            <xm:f>Auxiliar!$B$18</xm:f>
            <x14:dxf>
              <font>
                <b/>
                <i val="0"/>
                <color theme="0" tint="-0.499984740745262"/>
              </font>
              <fill>
                <patternFill>
                  <bgColor theme="0" tint="-4.9989318521683403E-2"/>
                </patternFill>
              </fill>
            </x14:dxf>
          </x14:cfRule>
          <x14:cfRule type="containsText" priority="634"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35"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36"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67" operator="containsText" id="{DF181235-FA9E-40EA-A648-292B48022DA0}">
            <xm:f>NOT(ISERROR(SEARCH(Auxiliar!$B$21,I1278)))</xm:f>
            <xm:f>Auxiliar!$B$21</xm:f>
            <x14:dxf>
              <font>
                <b/>
                <i val="0"/>
                <color rgb="FFFFC000"/>
              </font>
              <fill>
                <patternFill>
                  <bgColor theme="9" tint="0.59996337778862885"/>
                </patternFill>
              </fill>
            </x14:dxf>
          </x14:cfRule>
          <x14:cfRule type="cellIs" priority="68" operator="equal" id="{9C7C6505-25DE-4647-8F2A-4962829050E1}">
            <xm:f>Auxiliar!$B$24</xm:f>
            <x14:dxf>
              <font>
                <b/>
                <i val="0"/>
                <color theme="1"/>
              </font>
              <fill>
                <patternFill patternType="darkUp">
                  <bgColor theme="0"/>
                </patternFill>
              </fill>
            </x14:dxf>
          </x14:cfRule>
          <x14:cfRule type="cellIs" priority="69" operator="equal" id="{3CFB144F-84F5-4773-AE43-EF621B2D2154}">
            <xm:f>Auxiliar!$B$18</xm:f>
            <x14:dxf>
              <font>
                <b/>
                <i val="0"/>
                <color theme="0" tint="-0.499984740745262"/>
              </font>
              <fill>
                <patternFill>
                  <bgColor theme="0" tint="-4.9989318521683403E-2"/>
                </patternFill>
              </fill>
            </x14:dxf>
          </x14:cfRule>
          <x14:cfRule type="containsText" priority="70"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71"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72"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61" operator="containsText" id="{823160F8-9997-4794-9B4E-C576A6FE222D}">
            <xm:f>NOT(ISERROR(SEARCH(Auxiliar!$B$21,I326)))</xm:f>
            <xm:f>Auxiliar!$B$21</xm:f>
            <x14:dxf>
              <font>
                <b/>
                <i val="0"/>
                <color rgb="FFFFC000"/>
              </font>
              <fill>
                <patternFill>
                  <bgColor theme="9" tint="0.59996337778862885"/>
                </patternFill>
              </fill>
            </x14:dxf>
          </x14:cfRule>
          <x14:cfRule type="cellIs" priority="62" operator="equal" id="{C1156D3F-4924-4518-B96A-5B9AA8B5BE50}">
            <xm:f>Auxiliar!$B$24</xm:f>
            <x14:dxf>
              <font>
                <b/>
                <i val="0"/>
                <color theme="1"/>
              </font>
              <fill>
                <patternFill patternType="darkUp">
                  <bgColor theme="0"/>
                </patternFill>
              </fill>
            </x14:dxf>
          </x14:cfRule>
          <x14:cfRule type="cellIs" priority="63" operator="equal" id="{BD765773-A292-448A-90DA-70399168E638}">
            <xm:f>Auxiliar!$B$18</xm:f>
            <x14:dxf>
              <font>
                <b/>
                <i val="0"/>
                <color theme="0" tint="-0.499984740745262"/>
              </font>
              <fill>
                <patternFill>
                  <bgColor theme="0" tint="-4.9989318521683403E-2"/>
                </patternFill>
              </fill>
            </x14:dxf>
          </x14:cfRule>
          <x14:cfRule type="containsText" priority="64"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65"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66"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55" operator="containsText" id="{2C9A8ECC-40D2-4BF8-9013-94EF4681BA37}">
            <xm:f>NOT(ISERROR(SEARCH(Auxiliar!$B$21,I1074)))</xm:f>
            <xm:f>Auxiliar!$B$21</xm:f>
            <x14:dxf>
              <font>
                <b/>
                <i val="0"/>
                <color rgb="FFFFC000"/>
              </font>
              <fill>
                <patternFill>
                  <bgColor theme="9" tint="0.59996337778862885"/>
                </patternFill>
              </fill>
            </x14:dxf>
          </x14:cfRule>
          <x14:cfRule type="cellIs" priority="56" operator="equal" id="{59A9144D-6CCA-4414-829D-6E250F57C9C1}">
            <xm:f>Auxiliar!$B$24</xm:f>
            <x14:dxf>
              <font>
                <b/>
                <i val="0"/>
                <color theme="1"/>
              </font>
              <fill>
                <patternFill patternType="darkUp">
                  <bgColor theme="0"/>
                </patternFill>
              </fill>
            </x14:dxf>
          </x14:cfRule>
          <x14:cfRule type="cellIs" priority="57" operator="equal" id="{E214B4E9-46D7-4587-9E1C-3B66F94D73F5}">
            <xm:f>Auxiliar!$B$18</xm:f>
            <x14:dxf>
              <font>
                <b/>
                <i val="0"/>
                <color theme="0" tint="-0.499984740745262"/>
              </font>
              <fill>
                <patternFill>
                  <bgColor theme="0" tint="-4.9989318521683403E-2"/>
                </patternFill>
              </fill>
            </x14:dxf>
          </x14:cfRule>
          <x14:cfRule type="containsText" priority="58"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9"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0"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49" operator="containsText" id="{95C8CC35-B63E-4B6E-978B-89C7B3BB0D0F}">
            <xm:f>NOT(ISERROR(SEARCH(Auxiliar!$B$21,I1298)))</xm:f>
            <xm:f>Auxiliar!$B$21</xm:f>
            <x14:dxf>
              <font>
                <b/>
                <i val="0"/>
                <color rgb="FFFFC000"/>
              </font>
              <fill>
                <patternFill>
                  <bgColor theme="9" tint="0.59996337778862885"/>
                </patternFill>
              </fill>
            </x14:dxf>
          </x14:cfRule>
          <x14:cfRule type="cellIs" priority="50" operator="equal" id="{2CF4FBE2-212B-4B8E-A4FF-359DE385C765}">
            <xm:f>Auxiliar!$B$24</xm:f>
            <x14:dxf>
              <font>
                <b/>
                <i val="0"/>
                <color theme="1"/>
              </font>
              <fill>
                <patternFill patternType="darkUp">
                  <bgColor theme="0"/>
                </patternFill>
              </fill>
            </x14:dxf>
          </x14:cfRule>
          <x14:cfRule type="cellIs" priority="51" operator="equal" id="{DFAEB673-DE6E-4608-B609-F2F737B60C9A}">
            <xm:f>Auxiliar!$B$18</xm:f>
            <x14:dxf>
              <font>
                <b/>
                <i val="0"/>
                <color theme="0" tint="-0.499984740745262"/>
              </font>
              <fill>
                <patternFill>
                  <bgColor theme="0" tint="-4.9989318521683403E-2"/>
                </patternFill>
              </fill>
            </x14:dxf>
          </x14:cfRule>
          <x14:cfRule type="containsText" priority="52"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53"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54" operator="containsText" id="{6141A62C-659B-4A19-9663-DFF6F5A7812C}">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31" operator="containsText" id="{670F9BD4-6E72-4C8A-9DE6-6D760ABE2EF2}">
            <xm:f>NOT(ISERROR(SEARCH(Auxiliar!$B$21,I1152)))</xm:f>
            <xm:f>Auxiliar!$B$21</xm:f>
            <x14:dxf>
              <font>
                <b/>
                <i val="0"/>
                <color rgb="FFFFC000"/>
              </font>
              <fill>
                <patternFill>
                  <bgColor theme="9" tint="0.59996337778862885"/>
                </patternFill>
              </fill>
            </x14:dxf>
          </x14:cfRule>
          <x14:cfRule type="cellIs" priority="32" operator="equal" id="{A21A7634-FA0B-4602-AFC1-02F4105C6810}">
            <xm:f>Auxiliar!$B$24</xm:f>
            <x14:dxf>
              <font>
                <b/>
                <i val="0"/>
                <color theme="1"/>
              </font>
              <fill>
                <patternFill patternType="darkUp">
                  <bgColor theme="0"/>
                </patternFill>
              </fill>
            </x14:dxf>
          </x14:cfRule>
          <x14:cfRule type="cellIs" priority="33" operator="equal" id="{6FE9802C-F381-43CA-A21F-54F14A81F8B2}">
            <xm:f>Auxiliar!$B$18</xm:f>
            <x14:dxf>
              <font>
                <b/>
                <i val="0"/>
                <color theme="0" tint="-0.499984740745262"/>
              </font>
              <fill>
                <patternFill>
                  <bgColor theme="0" tint="-4.9989318521683403E-2"/>
                </patternFill>
              </fill>
            </x14:dxf>
          </x14:cfRule>
          <x14:cfRule type="containsText" priority="34" operator="containsText" id="{3F557497-5FC7-4369-843E-84988C61F081}">
            <xm:f>NOT(ISERROR(SEARCH(Auxiliar!$B$22,I1152)))</xm:f>
            <xm:f>Auxiliar!$B$22</xm:f>
            <x14:dxf>
              <font>
                <b/>
                <i val="0"/>
                <color rgb="FFC00000"/>
              </font>
              <fill>
                <patternFill>
                  <bgColor theme="4" tint="0.79998168889431442"/>
                </patternFill>
              </fill>
            </x14:dxf>
          </x14:cfRule>
          <x14:cfRule type="containsText" priority="35" operator="containsText" id="{268E68D1-CAFE-4DB2-86A7-B86374BA2AC6}">
            <xm:f>NOT(ISERROR(SEARCH(Auxiliar!$B$19,I1152)))</xm:f>
            <xm:f>Auxiliar!$B$19</xm:f>
            <x14:dxf>
              <font>
                <b/>
                <i val="0"/>
                <color theme="9" tint="-0.499984740745262"/>
              </font>
              <fill>
                <patternFill>
                  <bgColor theme="9" tint="0.79998168889431442"/>
                </patternFill>
              </fill>
            </x14:dxf>
          </x14:cfRule>
          <x14:cfRule type="containsText" priority="36" operator="containsText" id="{36383A9E-1DBC-409A-B9CC-1EFA73D81E81}">
            <xm:f>NOT(ISERROR(SEARCH(Auxiliar!$B$16,I1152)))</xm:f>
            <xm:f>Auxiliar!$B$16</xm:f>
            <x14:dxf>
              <font>
                <b/>
                <i val="0"/>
                <color theme="7"/>
              </font>
              <fill>
                <patternFill>
                  <bgColor theme="7" tint="0.79998168889431442"/>
                </patternFill>
              </fill>
            </x14:dxf>
          </x14:cfRule>
          <xm:sqref>I1152</xm:sqref>
        </x14:conditionalFormatting>
        <x14:conditionalFormatting xmlns:xm="http://schemas.microsoft.com/office/excel/2006/main">
          <x14:cfRule type="containsText" priority="25" operator="containsText" id="{6142BEC0-530B-491C-A9B0-54D3FDEFA333}">
            <xm:f>NOT(ISERROR(SEARCH(Auxiliar!$B$21,I1153)))</xm:f>
            <xm:f>Auxiliar!$B$21</xm:f>
            <x14:dxf>
              <font>
                <b/>
                <i val="0"/>
                <color rgb="FFFFC000"/>
              </font>
              <fill>
                <patternFill>
                  <bgColor theme="9" tint="0.59996337778862885"/>
                </patternFill>
              </fill>
            </x14:dxf>
          </x14:cfRule>
          <x14:cfRule type="cellIs" priority="26" operator="equal" id="{358F6D0A-F9F7-465B-A1B9-1F10C2092035}">
            <xm:f>Auxiliar!$B$24</xm:f>
            <x14:dxf>
              <font>
                <b/>
                <i val="0"/>
                <color theme="1"/>
              </font>
              <fill>
                <patternFill patternType="darkUp">
                  <bgColor theme="0"/>
                </patternFill>
              </fill>
            </x14:dxf>
          </x14:cfRule>
          <x14:cfRule type="cellIs" priority="27" operator="equal" id="{0F0BF42A-65A3-4A1C-A9D9-C3D22AEF3526}">
            <xm:f>Auxiliar!$B$18</xm:f>
            <x14:dxf>
              <font>
                <b/>
                <i val="0"/>
                <color theme="0" tint="-0.499984740745262"/>
              </font>
              <fill>
                <patternFill>
                  <bgColor theme="0" tint="-4.9989318521683403E-2"/>
                </patternFill>
              </fill>
            </x14:dxf>
          </x14:cfRule>
          <x14:cfRule type="containsText" priority="28" operator="containsText" id="{AB275E1F-B651-4730-8321-08DD63466F62}">
            <xm:f>NOT(ISERROR(SEARCH(Auxiliar!$B$22,I1153)))</xm:f>
            <xm:f>Auxiliar!$B$22</xm:f>
            <x14:dxf>
              <font>
                <b/>
                <i val="0"/>
                <color rgb="FFC00000"/>
              </font>
              <fill>
                <patternFill>
                  <bgColor theme="4" tint="0.79998168889431442"/>
                </patternFill>
              </fill>
            </x14:dxf>
          </x14:cfRule>
          <x14:cfRule type="containsText" priority="29" operator="containsText" id="{6108E5DA-0A6D-46D4-AB08-0967CF535CB3}">
            <xm:f>NOT(ISERROR(SEARCH(Auxiliar!$B$19,I1153)))</xm:f>
            <xm:f>Auxiliar!$B$19</xm:f>
            <x14:dxf>
              <font>
                <b/>
                <i val="0"/>
                <color theme="9" tint="-0.499984740745262"/>
              </font>
              <fill>
                <patternFill>
                  <bgColor theme="9" tint="0.79998168889431442"/>
                </patternFill>
              </fill>
            </x14:dxf>
          </x14:cfRule>
          <x14:cfRule type="containsText" priority="30" operator="containsText" id="{26B8B3B0-7C1C-4390-8CA5-1A701CAA1D5E}">
            <xm:f>NOT(ISERROR(SEARCH(Auxiliar!$B$16,I1153)))</xm:f>
            <xm:f>Auxiliar!$B$16</xm:f>
            <x14:dxf>
              <font>
                <b/>
                <i val="0"/>
                <color theme="7"/>
              </font>
              <fill>
                <patternFill>
                  <bgColor theme="7" tint="0.79998168889431442"/>
                </patternFill>
              </fill>
            </x14:dxf>
          </x14:cfRule>
          <xm:sqref>I1153:I1154</xm:sqref>
        </x14:conditionalFormatting>
        <x14:conditionalFormatting xmlns:xm="http://schemas.microsoft.com/office/excel/2006/main">
          <x14:cfRule type="containsText" priority="19" operator="containsText" id="{41D9C7DC-0343-4880-92C3-E9E5E74035D0}">
            <xm:f>NOT(ISERROR(SEARCH(Auxiliar!$B$21,I1299)))</xm:f>
            <xm:f>Auxiliar!$B$21</xm:f>
            <x14:dxf>
              <font>
                <b/>
                <i val="0"/>
                <color rgb="FFFFC000"/>
              </font>
              <fill>
                <patternFill>
                  <bgColor theme="9" tint="0.59996337778862885"/>
                </patternFill>
              </fill>
            </x14:dxf>
          </x14:cfRule>
          <x14:cfRule type="cellIs" priority="20" operator="equal" id="{1312F701-7E73-45EE-AB28-2D9E99DC8EF2}">
            <xm:f>Auxiliar!$B$24</xm:f>
            <x14:dxf>
              <font>
                <b/>
                <i val="0"/>
                <color theme="1"/>
              </font>
              <fill>
                <patternFill patternType="darkUp">
                  <bgColor theme="0"/>
                </patternFill>
              </fill>
            </x14:dxf>
          </x14:cfRule>
          <x14:cfRule type="cellIs" priority="21" operator="equal" id="{D2E876AF-8F02-4700-85A4-0261345B6B8E}">
            <xm:f>Auxiliar!$B$18</xm:f>
            <x14:dxf>
              <font>
                <b/>
                <i val="0"/>
                <color theme="0" tint="-0.499984740745262"/>
              </font>
              <fill>
                <patternFill>
                  <bgColor theme="0" tint="-4.9989318521683403E-2"/>
                </patternFill>
              </fill>
            </x14:dxf>
          </x14:cfRule>
          <x14:cfRule type="containsText" priority="22" operator="containsText" id="{7A9B92B3-1F4F-4AF2-915D-9BF9328E602D}">
            <xm:f>NOT(ISERROR(SEARCH(Auxiliar!$B$22,I1299)))</xm:f>
            <xm:f>Auxiliar!$B$22</xm:f>
            <x14:dxf>
              <font>
                <b/>
                <i val="0"/>
                <color rgb="FFC00000"/>
              </font>
              <fill>
                <patternFill>
                  <bgColor theme="4" tint="0.79998168889431442"/>
                </patternFill>
              </fill>
            </x14:dxf>
          </x14:cfRule>
          <x14:cfRule type="containsText" priority="23" operator="containsText" id="{21659B19-9605-4A88-B735-022CDBEDA910}">
            <xm:f>NOT(ISERROR(SEARCH(Auxiliar!$B$19,I1299)))</xm:f>
            <xm:f>Auxiliar!$B$19</xm:f>
            <x14:dxf>
              <font>
                <b/>
                <i val="0"/>
                <color theme="9" tint="-0.499984740745262"/>
              </font>
              <fill>
                <patternFill>
                  <bgColor theme="9" tint="0.79998168889431442"/>
                </patternFill>
              </fill>
            </x14:dxf>
          </x14:cfRule>
          <x14:cfRule type="containsText" priority="24" operator="containsText" id="{400C445E-1A34-4FCD-9B79-6D519EC39E7E}">
            <xm:f>NOT(ISERROR(SEARCH(Auxiliar!$B$16,I1299)))</xm:f>
            <xm:f>Auxiliar!$B$16</xm:f>
            <x14:dxf>
              <font>
                <b/>
                <i val="0"/>
                <color theme="7"/>
              </font>
              <fill>
                <patternFill>
                  <bgColor theme="7" tint="0.79998168889431442"/>
                </patternFill>
              </fill>
            </x14:dxf>
          </x14:cfRule>
          <xm:sqref>I1299</xm:sqref>
        </x14:conditionalFormatting>
        <x14:conditionalFormatting xmlns:xm="http://schemas.microsoft.com/office/excel/2006/main">
          <x14:cfRule type="containsText" priority="13" operator="containsText" id="{2894A03C-3E5F-44BE-8B6E-722E39F9710E}">
            <xm:f>NOT(ISERROR(SEARCH(Auxiliar!$B$21,I1297)))</xm:f>
            <xm:f>Auxiliar!$B$21</xm:f>
            <x14:dxf>
              <font>
                <b/>
                <i val="0"/>
                <color rgb="FFFFC000"/>
              </font>
              <fill>
                <patternFill>
                  <bgColor theme="9" tint="0.59996337778862885"/>
                </patternFill>
              </fill>
            </x14:dxf>
          </x14:cfRule>
          <x14:cfRule type="cellIs" priority="14" operator="equal" id="{EB5D0CD7-AEBB-44EB-B1FA-46E6B515B772}">
            <xm:f>Auxiliar!$B$24</xm:f>
            <x14:dxf>
              <font>
                <b/>
                <i val="0"/>
                <color theme="1"/>
              </font>
              <fill>
                <patternFill patternType="darkUp">
                  <bgColor theme="0"/>
                </patternFill>
              </fill>
            </x14:dxf>
          </x14:cfRule>
          <x14:cfRule type="cellIs" priority="15" operator="equal" id="{71888C3E-3039-46F4-B52E-38A7B2E9EBE7}">
            <xm:f>Auxiliar!$B$18</xm:f>
            <x14:dxf>
              <font>
                <b/>
                <i val="0"/>
                <color theme="0" tint="-0.499984740745262"/>
              </font>
              <fill>
                <patternFill>
                  <bgColor theme="0" tint="-4.9989318521683403E-2"/>
                </patternFill>
              </fill>
            </x14:dxf>
          </x14:cfRule>
          <x14:cfRule type="containsText" priority="16" operator="containsText" id="{E06D4046-F08F-4120-941B-B0477FD33D17}">
            <xm:f>NOT(ISERROR(SEARCH(Auxiliar!$B$22,I1297)))</xm:f>
            <xm:f>Auxiliar!$B$22</xm:f>
            <x14:dxf>
              <font>
                <b/>
                <i val="0"/>
                <color rgb="FFC00000"/>
              </font>
              <fill>
                <patternFill>
                  <bgColor theme="4" tint="0.79998168889431442"/>
                </patternFill>
              </fill>
            </x14:dxf>
          </x14:cfRule>
          <x14:cfRule type="containsText" priority="17" operator="containsText" id="{15423AE7-3867-4E7E-A4F6-E0615B5BC45B}">
            <xm:f>NOT(ISERROR(SEARCH(Auxiliar!$B$19,I1297)))</xm:f>
            <xm:f>Auxiliar!$B$19</xm:f>
            <x14:dxf>
              <font>
                <b/>
                <i val="0"/>
                <color theme="9" tint="-0.499984740745262"/>
              </font>
              <fill>
                <patternFill>
                  <bgColor theme="9" tint="0.79998168889431442"/>
                </patternFill>
              </fill>
            </x14:dxf>
          </x14:cfRule>
          <x14:cfRule type="containsText" priority="18" operator="containsText" id="{EA7B4AB5-08EC-4F26-8A35-523E69125988}">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E3BB2710-C741-4DF5-8D19-1B415C19CE71}">
            <xm:f>NOT(ISERROR(SEARCH(Auxiliar!$B$21,I1101)))</xm:f>
            <xm:f>Auxiliar!$B$21</xm:f>
            <x14:dxf>
              <font>
                <b/>
                <i val="0"/>
                <color rgb="FFFFC000"/>
              </font>
              <fill>
                <patternFill>
                  <bgColor theme="9" tint="0.59996337778862885"/>
                </patternFill>
              </fill>
            </x14:dxf>
          </x14:cfRule>
          <x14:cfRule type="cellIs" priority="2" operator="equal" id="{0B3DA3C8-A704-493D-B3A5-F25FEE5B8F3C}">
            <xm:f>Auxiliar!$B$24</xm:f>
            <x14:dxf>
              <font>
                <b/>
                <i val="0"/>
                <color theme="1"/>
              </font>
              <fill>
                <patternFill patternType="darkUp">
                  <bgColor theme="0"/>
                </patternFill>
              </fill>
            </x14:dxf>
          </x14:cfRule>
          <x14:cfRule type="cellIs" priority="3" operator="equal" id="{126B789A-B4AA-48A3-9BA6-9AEFBDA12DBB}">
            <xm:f>Auxiliar!$B$18</xm:f>
            <x14:dxf>
              <font>
                <b/>
                <i val="0"/>
                <color theme="0" tint="-0.499984740745262"/>
              </font>
              <fill>
                <patternFill>
                  <bgColor theme="0" tint="-4.9989318521683403E-2"/>
                </patternFill>
              </fill>
            </x14:dxf>
          </x14:cfRule>
          <x14:cfRule type="containsText" priority="4" operator="containsText" id="{388E322F-83D3-4274-BB6D-D4B938523A2C}">
            <xm:f>NOT(ISERROR(SEARCH(Auxiliar!$B$22,I1101)))</xm:f>
            <xm:f>Auxiliar!$B$22</xm:f>
            <x14:dxf>
              <font>
                <b/>
                <i val="0"/>
                <color rgb="FFC00000"/>
              </font>
              <fill>
                <patternFill>
                  <bgColor theme="4" tint="0.79998168889431442"/>
                </patternFill>
              </fill>
            </x14:dxf>
          </x14:cfRule>
          <x14:cfRule type="containsText" priority="5" operator="containsText" id="{E2642AA8-541C-4663-8184-7A99020AC5CA}">
            <xm:f>NOT(ISERROR(SEARCH(Auxiliar!$B$19,I1101)))</xm:f>
            <xm:f>Auxiliar!$B$19</xm:f>
            <x14:dxf>
              <font>
                <b/>
                <i val="0"/>
                <color theme="9" tint="-0.499984740745262"/>
              </font>
              <fill>
                <patternFill>
                  <bgColor theme="9" tint="0.79998168889431442"/>
                </patternFill>
              </fill>
            </x14:dxf>
          </x14:cfRule>
          <x14:cfRule type="containsText" priority="6" operator="containsText" id="{C51B6767-566A-4856-BF48-9F9941D8CCE2}">
            <xm:f>NOT(ISERROR(SEARCH(Auxiliar!$B$16,I1101)))</xm:f>
            <xm:f>Auxiliar!$B$16</xm:f>
            <x14:dxf>
              <font>
                <b/>
                <i val="0"/>
                <color theme="7"/>
              </font>
              <fill>
                <patternFill>
                  <bgColor theme="7" tint="0.79998168889431442"/>
                </patternFill>
              </fill>
            </x14:dxf>
          </x14:cfRule>
          <xm:sqref>I1101:I1109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6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4"/>
  <sheetViews>
    <sheetView showGridLines="0" topLeftCell="A106" zoomScale="70" zoomScaleNormal="70" workbookViewId="0">
      <selection activeCell="A131" sqref="A131:XFD131"/>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SUM(Y17:Y255)</f>
        <v>0</v>
      </c>
      <c r="Z7" s="252">
        <f>SUM(Z17:Z255)</f>
        <v>0.5</v>
      </c>
      <c r="AA7" s="252">
        <f>SUM(AA17:AA255)</f>
        <v>0</v>
      </c>
      <c r="AB7" s="252">
        <f>SUM(AB17:AB255)</f>
        <v>0</v>
      </c>
      <c r="AC7" s="252">
        <f>SUM(AC17:AC255)</f>
        <v>0</v>
      </c>
      <c r="AD7" s="252">
        <f>SUM(AD17:AD255)</f>
        <v>0</v>
      </c>
      <c r="AE7" s="252"/>
      <c r="AF7" s="252"/>
      <c r="AG7" s="252"/>
      <c r="AH7" s="252"/>
      <c r="AI7" s="252"/>
      <c r="AJ7" s="252"/>
      <c r="AK7" s="252"/>
      <c r="AL7" s="252"/>
      <c r="AM7" s="252"/>
      <c r="AN7" s="252"/>
      <c r="AO7" s="252"/>
      <c r="AP7" s="252"/>
      <c r="AQ7" s="252"/>
      <c r="AR7" s="252"/>
      <c r="AS7" s="252"/>
      <c r="AT7" s="252"/>
      <c r="AU7" s="252"/>
      <c r="AV7" s="252"/>
      <c r="AW7" s="252"/>
      <c r="AX7" s="252"/>
      <c r="AY7" s="252">
        <f>SUM(AY17:AY255)</f>
        <v>3</v>
      </c>
      <c r="AZ7" s="252">
        <f>SUM(AZ17:AZ255)</f>
        <v>3.0000000000000004</v>
      </c>
      <c r="BA7" s="252">
        <f>SUM(BA17:BA255)</f>
        <v>3</v>
      </c>
      <c r="BB7" s="252">
        <f>SUM(BB17:BB255)</f>
        <v>2</v>
      </c>
      <c r="BC7" s="252">
        <f>SUM(BC17:BC255)</f>
        <v>2.6</v>
      </c>
      <c r="BD7" s="252">
        <f>SUM(BD17:BD255)</f>
        <v>1</v>
      </c>
      <c r="BE7" s="252">
        <f>SUM(BE17:BE255)</f>
        <v>1.5</v>
      </c>
      <c r="BF7" s="252">
        <f>SUM(BF17:BF255)</f>
        <v>2</v>
      </c>
      <c r="BG7" s="252">
        <f>SUM(BG17:BG255)</f>
        <v>2.5</v>
      </c>
      <c r="BH7" s="252">
        <f>SUM(BH17:BH255)</f>
        <v>6.1</v>
      </c>
      <c r="BI7" s="252">
        <f>SUM(BI17:BI255)</f>
        <v>3</v>
      </c>
      <c r="BJ7" s="252">
        <f>SUM(BJ17:BJ255)</f>
        <v>3</v>
      </c>
      <c r="BK7" s="252">
        <f>SUM(BK17:BK255)</f>
        <v>3</v>
      </c>
      <c r="BL7" s="252">
        <f>SUM(BL17:BL255)</f>
        <v>4</v>
      </c>
      <c r="BM7" s="252">
        <f>SUM(BM17:BM255)</f>
        <v>3.0000000000000009</v>
      </c>
      <c r="BN7" s="252">
        <f>SUM(BN17:BN255)</f>
        <v>3</v>
      </c>
      <c r="BO7" s="252">
        <f>SUM(BO17:BO255)</f>
        <v>0</v>
      </c>
      <c r="BP7" s="252">
        <f>SUM(BP17:BP255)</f>
        <v>0</v>
      </c>
      <c r="BQ7" s="252">
        <f>SUM(BQ17:BQ255)</f>
        <v>0</v>
      </c>
      <c r="BR7" s="252">
        <f>SUM(BR17:BR255)</f>
        <v>0</v>
      </c>
      <c r="BS7" s="252">
        <f>SUM(BS17:BS255)</f>
        <v>0</v>
      </c>
      <c r="BT7" s="252">
        <f>SUM(BT17:BT255)</f>
        <v>0</v>
      </c>
      <c r="BU7" s="252">
        <f>SUM(BU17:BU255)</f>
        <v>0</v>
      </c>
      <c r="BV7" s="252">
        <f>SUM(BV17:BV255)</f>
        <v>0.2</v>
      </c>
      <c r="BW7" s="252">
        <f>SUM(BW17:BW255)</f>
        <v>0</v>
      </c>
      <c r="BX7" s="252">
        <f>SUM(BX17:BX255)</f>
        <v>3</v>
      </c>
      <c r="BY7" s="252">
        <f>SUM(BY17:BY255)</f>
        <v>3</v>
      </c>
      <c r="BZ7" s="252">
        <f>SUM(BZ17:BZ255)</f>
        <v>2</v>
      </c>
      <c r="CA7" s="252">
        <f>SUM(CA17:CA255)</f>
        <v>1</v>
      </c>
      <c r="CB7" s="252">
        <f>SUM(CB17:CB255)</f>
        <v>0.5</v>
      </c>
      <c r="CC7" s="252">
        <f>SUM(CC17:CC255)</f>
        <v>0</v>
      </c>
      <c r="CD7" s="252">
        <f>SUM(CD17:CD255)</f>
        <v>1</v>
      </c>
      <c r="CE7" s="252">
        <f>SUM(CE17:CE255)</f>
        <v>1</v>
      </c>
      <c r="CF7" s="252">
        <f>SUM(CF17:CF255)</f>
        <v>0</v>
      </c>
      <c r="CG7" s="252">
        <f>SUM(CG17:CG255)</f>
        <v>0</v>
      </c>
      <c r="CH7" s="252">
        <f>SUM(CH17:CH255)</f>
        <v>1</v>
      </c>
      <c r="CI7" s="252">
        <f>SUM(CI17:CI255)</f>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2017</v>
      </c>
      <c r="J15" s="266" t="s">
        <v>2017</v>
      </c>
      <c r="K15" s="266" t="s">
        <v>2017</v>
      </c>
      <c r="L15" s="266" t="s">
        <v>2017</v>
      </c>
      <c r="M15" s="266" t="s">
        <v>2017</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2">BV16</f>
        <v>45659</v>
      </c>
      <c r="BW15" s="77">
        <f t="shared" si="2"/>
        <v>45660</v>
      </c>
      <c r="BX15" s="77">
        <f t="shared" si="2"/>
        <v>45663</v>
      </c>
      <c r="BY15" s="77">
        <f t="shared" si="2"/>
        <v>45664</v>
      </c>
      <c r="BZ15" s="77">
        <f t="shared" si="2"/>
        <v>45665</v>
      </c>
      <c r="CA15" s="77">
        <f t="shared" si="2"/>
        <v>45666</v>
      </c>
      <c r="CB15" s="77">
        <f t="shared" si="2"/>
        <v>45667</v>
      </c>
      <c r="CC15" s="77">
        <f t="shared" si="2"/>
        <v>45670</v>
      </c>
      <c r="CD15" s="77">
        <f t="shared" si="2"/>
        <v>45671</v>
      </c>
      <c r="CE15" s="77">
        <f t="shared" si="2"/>
        <v>45672</v>
      </c>
      <c r="CF15" s="77">
        <f t="shared" si="2"/>
        <v>45673</v>
      </c>
      <c r="CG15" s="77">
        <f t="shared" si="2"/>
        <v>45674</v>
      </c>
      <c r="CH15" s="77">
        <f t="shared" si="2"/>
        <v>45677</v>
      </c>
      <c r="CI15" s="77">
        <f t="shared" si="2"/>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2019</v>
      </c>
      <c r="K16" s="214" t="s">
        <v>2020</v>
      </c>
      <c r="L16" s="319" t="s">
        <v>1999</v>
      </c>
      <c r="M16" s="319" t="s">
        <v>2000</v>
      </c>
      <c r="N16" s="319" t="s">
        <v>2018</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3">WORKDAY(BT16,1)</f>
        <v>45658</v>
      </c>
      <c r="BV16" s="321">
        <f t="shared" si="3"/>
        <v>45659</v>
      </c>
      <c r="BW16" s="321">
        <f t="shared" si="3"/>
        <v>45660</v>
      </c>
      <c r="BX16" s="321">
        <f t="shared" si="3"/>
        <v>45663</v>
      </c>
      <c r="BY16" s="321">
        <f t="shared" si="3"/>
        <v>45664</v>
      </c>
      <c r="BZ16" s="321">
        <f t="shared" si="3"/>
        <v>45665</v>
      </c>
      <c r="CA16" s="321">
        <f t="shared" si="3"/>
        <v>45666</v>
      </c>
      <c r="CB16" s="321">
        <f t="shared" si="3"/>
        <v>45667</v>
      </c>
      <c r="CC16" s="321">
        <f t="shared" si="3"/>
        <v>45670</v>
      </c>
      <c r="CD16" s="321">
        <f t="shared" si="3"/>
        <v>45671</v>
      </c>
      <c r="CE16" s="321">
        <f t="shared" si="3"/>
        <v>45672</v>
      </c>
      <c r="CF16" s="321">
        <f t="shared" si="3"/>
        <v>45673</v>
      </c>
      <c r="CG16" s="321">
        <f t="shared" si="3"/>
        <v>45674</v>
      </c>
      <c r="CH16" s="321">
        <f t="shared" si="3"/>
        <v>45677</v>
      </c>
      <c r="CI16" s="321">
        <f t="shared" si="3"/>
        <v>45678</v>
      </c>
    </row>
    <row r="17" spans="1:87" ht="15" customHeight="1">
      <c r="A17" s="274"/>
      <c r="B17" s="142" t="s">
        <v>26</v>
      </c>
      <c r="C17" s="138" t="s">
        <v>26</v>
      </c>
      <c r="D17" s="134"/>
      <c r="E17" s="241" t="s">
        <v>380</v>
      </c>
      <c r="F17" s="239" t="s">
        <v>1972</v>
      </c>
      <c r="G17" s="240">
        <f>COUNTA(G18)</f>
        <v>1</v>
      </c>
      <c r="H17" s="295" t="s">
        <v>2005</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4">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4"/>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2005</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4"/>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5">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6">IF(TODAY()&lt;=L20,0,MIN((TODAY()-L20)/(M20-L20+1),100%))</f>
        <v>1</v>
      </c>
      <c r="Q20" s="247">
        <f t="shared" ca="1" si="4"/>
        <v>0</v>
      </c>
      <c r="R20" s="261"/>
      <c r="S20" s="280" t="s">
        <v>1945</v>
      </c>
      <c r="T20" s="270">
        <v>4.0999999999999996</v>
      </c>
      <c r="U20" s="270">
        <f t="shared" ref="U20:U27" si="7">ROUND(T20/8,1)</f>
        <v>0.5</v>
      </c>
      <c r="V20" s="270">
        <f t="shared" ref="V20:V27" si="8">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5"/>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6"/>
        <v>1</v>
      </c>
      <c r="Q21" s="247">
        <f t="shared" ca="1" si="4"/>
        <v>0</v>
      </c>
      <c r="R21" s="261"/>
      <c r="S21" s="280" t="s">
        <v>1945</v>
      </c>
      <c r="T21" s="270">
        <v>4.0999999999999996</v>
      </c>
      <c r="U21" s="270">
        <f t="shared" si="7"/>
        <v>0.5</v>
      </c>
      <c r="V21" s="270">
        <f t="shared" si="8"/>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5"/>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6"/>
        <v>1</v>
      </c>
      <c r="Q22" s="247">
        <f t="shared" ca="1" si="4"/>
        <v>0</v>
      </c>
      <c r="R22" s="261"/>
      <c r="S22" s="280" t="s">
        <v>1945</v>
      </c>
      <c r="T22" s="270">
        <v>4.0999999999999996</v>
      </c>
      <c r="U22" s="270">
        <f t="shared" si="7"/>
        <v>0.5</v>
      </c>
      <c r="V22" s="270">
        <f t="shared" si="8"/>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5"/>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6"/>
        <v>1</v>
      </c>
      <c r="Q23" s="247">
        <f t="shared" ca="1" si="4"/>
        <v>0</v>
      </c>
      <c r="R23" s="261"/>
      <c r="S23" s="280" t="s">
        <v>1945</v>
      </c>
      <c r="T23" s="270">
        <v>8.1</v>
      </c>
      <c r="U23" s="270">
        <f t="shared" si="7"/>
        <v>1</v>
      </c>
      <c r="V23" s="270">
        <f t="shared" si="8"/>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5"/>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6"/>
        <v>1</v>
      </c>
      <c r="Q24" s="247">
        <f t="shared" ca="1" si="4"/>
        <v>0</v>
      </c>
      <c r="R24" s="261"/>
      <c r="S24" s="280" t="s">
        <v>1945</v>
      </c>
      <c r="T24" s="270">
        <v>8.1</v>
      </c>
      <c r="U24" s="270">
        <f t="shared" si="7"/>
        <v>1</v>
      </c>
      <c r="V24" s="270">
        <f t="shared" si="8"/>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5"/>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6"/>
        <v>1</v>
      </c>
      <c r="Q25" s="247">
        <f t="shared" ca="1" si="4"/>
        <v>0</v>
      </c>
      <c r="R25" s="261"/>
      <c r="S25" s="280" t="s">
        <v>1945</v>
      </c>
      <c r="T25" s="270">
        <v>4.0999999999999996</v>
      </c>
      <c r="U25" s="270">
        <f t="shared" si="7"/>
        <v>0.5</v>
      </c>
      <c r="V25" s="270">
        <f t="shared" si="8"/>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5"/>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6"/>
        <v>1</v>
      </c>
      <c r="Q26" s="247">
        <f t="shared" ca="1" si="4"/>
        <v>0</v>
      </c>
      <c r="R26" s="261"/>
      <c r="S26" s="280" t="s">
        <v>1945</v>
      </c>
      <c r="T26" s="270">
        <v>4.0999999999999996</v>
      </c>
      <c r="U26" s="270">
        <f t="shared" si="7"/>
        <v>0.5</v>
      </c>
      <c r="V26" s="270">
        <f t="shared" si="8"/>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5"/>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6"/>
        <v>1</v>
      </c>
      <c r="Q27" s="247">
        <f t="shared" ca="1" si="4"/>
        <v>0</v>
      </c>
      <c r="R27" s="261"/>
      <c r="S27" s="280" t="s">
        <v>1945</v>
      </c>
      <c r="T27" s="270">
        <v>4.0999999999999996</v>
      </c>
      <c r="U27" s="270">
        <f t="shared" si="7"/>
        <v>0.5</v>
      </c>
      <c r="V27" s="270">
        <f t="shared" si="8"/>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2005</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4"/>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9">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0">IF(TODAY()&lt;=L29,0,MIN((TODAY()-L29)/(M29-L29+1),100%))</f>
        <v>1</v>
      </c>
      <c r="Q29" s="247">
        <f t="shared" ca="1" si="4"/>
        <v>0</v>
      </c>
      <c r="R29" s="262" t="s">
        <v>38</v>
      </c>
      <c r="S29" s="280"/>
      <c r="T29" s="270">
        <v>0.6</v>
      </c>
      <c r="U29" s="270">
        <f t="shared" ref="U29:U43" si="11">ROUND(T29/8,1)</f>
        <v>0.1</v>
      </c>
      <c r="V29" s="270">
        <f t="shared" ref="V29:V43" si="12">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9"/>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0"/>
        <v>1</v>
      </c>
      <c r="Q30" s="247">
        <f t="shared" ca="1" si="4"/>
        <v>0</v>
      </c>
      <c r="R30" s="262" t="s">
        <v>38</v>
      </c>
      <c r="S30" s="280"/>
      <c r="T30" s="270">
        <v>0.6</v>
      </c>
      <c r="U30" s="270">
        <f t="shared" si="11"/>
        <v>0.1</v>
      </c>
      <c r="V30" s="270">
        <f t="shared" si="12"/>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9"/>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0"/>
        <v>1</v>
      </c>
      <c r="Q31" s="247">
        <f t="shared" ca="1" si="4"/>
        <v>0</v>
      </c>
      <c r="R31" s="262" t="s">
        <v>38</v>
      </c>
      <c r="S31" s="280"/>
      <c r="T31" s="270">
        <v>0.6</v>
      </c>
      <c r="U31" s="270">
        <f t="shared" si="11"/>
        <v>0.1</v>
      </c>
      <c r="V31" s="270">
        <f t="shared" si="12"/>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9"/>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0"/>
        <v>1</v>
      </c>
      <c r="Q32" s="247">
        <f t="shared" ca="1" si="4"/>
        <v>0</v>
      </c>
      <c r="R32" s="262" t="s">
        <v>38</v>
      </c>
      <c r="S32" s="280"/>
      <c r="T32" s="270">
        <v>0.6</v>
      </c>
      <c r="U32" s="270">
        <f t="shared" si="11"/>
        <v>0.1</v>
      </c>
      <c r="V32" s="270">
        <f t="shared" si="12"/>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9"/>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0"/>
        <v>1</v>
      </c>
      <c r="Q33" s="247">
        <f t="shared" ca="1" si="4"/>
        <v>0</v>
      </c>
      <c r="R33" s="262" t="s">
        <v>38</v>
      </c>
      <c r="S33" s="280"/>
      <c r="T33" s="270">
        <v>0.6</v>
      </c>
      <c r="U33" s="270">
        <f t="shared" si="11"/>
        <v>0.1</v>
      </c>
      <c r="V33" s="270">
        <f t="shared" si="12"/>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9"/>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0"/>
        <v>1</v>
      </c>
      <c r="Q34" s="247">
        <f t="shared" ca="1" si="4"/>
        <v>0</v>
      </c>
      <c r="R34" s="262" t="s">
        <v>38</v>
      </c>
      <c r="S34" s="280"/>
      <c r="T34" s="270">
        <v>0.6</v>
      </c>
      <c r="U34" s="270">
        <f t="shared" si="11"/>
        <v>0.1</v>
      </c>
      <c r="V34" s="270">
        <f t="shared" si="12"/>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9"/>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0"/>
        <v>1</v>
      </c>
      <c r="Q35" s="247">
        <f t="shared" ca="1" si="4"/>
        <v>0</v>
      </c>
      <c r="R35" s="262" t="s">
        <v>38</v>
      </c>
      <c r="S35" s="280"/>
      <c r="T35" s="270">
        <v>0.6</v>
      </c>
      <c r="U35" s="270">
        <f t="shared" si="11"/>
        <v>0.1</v>
      </c>
      <c r="V35" s="270">
        <f t="shared" si="12"/>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9"/>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0"/>
        <v>1</v>
      </c>
      <c r="Q36" s="247">
        <f t="shared" ca="1" si="4"/>
        <v>0</v>
      </c>
      <c r="R36" s="262" t="s">
        <v>38</v>
      </c>
      <c r="S36" s="280"/>
      <c r="T36" s="270">
        <v>0.6</v>
      </c>
      <c r="U36" s="270">
        <f t="shared" si="11"/>
        <v>0.1</v>
      </c>
      <c r="V36" s="270">
        <f t="shared" si="12"/>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9"/>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0"/>
        <v>1</v>
      </c>
      <c r="Q37" s="247">
        <f t="shared" ca="1" si="4"/>
        <v>0</v>
      </c>
      <c r="R37" s="262" t="s">
        <v>38</v>
      </c>
      <c r="S37" s="280"/>
      <c r="T37" s="270">
        <v>0.6</v>
      </c>
      <c r="U37" s="270">
        <f t="shared" si="11"/>
        <v>0.1</v>
      </c>
      <c r="V37" s="270">
        <f t="shared" si="12"/>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9"/>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0"/>
        <v>1</v>
      </c>
      <c r="Q38" s="247">
        <f t="shared" ca="1" si="4"/>
        <v>0</v>
      </c>
      <c r="R38" s="262" t="s">
        <v>38</v>
      </c>
      <c r="S38" s="280"/>
      <c r="T38" s="270">
        <v>0.6</v>
      </c>
      <c r="U38" s="270">
        <f t="shared" si="11"/>
        <v>0.1</v>
      </c>
      <c r="V38" s="270">
        <f t="shared" si="12"/>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9"/>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0"/>
        <v>1</v>
      </c>
      <c r="Q39" s="247">
        <f t="shared" ca="1" si="4"/>
        <v>0</v>
      </c>
      <c r="R39" s="262" t="s">
        <v>38</v>
      </c>
      <c r="S39" s="280"/>
      <c r="T39" s="270">
        <v>0.6</v>
      </c>
      <c r="U39" s="270">
        <f t="shared" si="11"/>
        <v>0.1</v>
      </c>
      <c r="V39" s="270">
        <f t="shared" si="12"/>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9"/>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0"/>
        <v>1</v>
      </c>
      <c r="Q40" s="247">
        <f t="shared" ca="1" si="4"/>
        <v>0</v>
      </c>
      <c r="R40" s="262" t="s">
        <v>38</v>
      </c>
      <c r="S40" s="280"/>
      <c r="T40" s="270">
        <v>0.6</v>
      </c>
      <c r="U40" s="270">
        <f t="shared" si="11"/>
        <v>0.1</v>
      </c>
      <c r="V40" s="270">
        <f t="shared" si="12"/>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9"/>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0"/>
        <v>1</v>
      </c>
      <c r="Q41" s="247">
        <f t="shared" ca="1" si="4"/>
        <v>0</v>
      </c>
      <c r="R41" s="262" t="s">
        <v>38</v>
      </c>
      <c r="S41" s="280"/>
      <c r="T41" s="270">
        <v>0.6</v>
      </c>
      <c r="U41" s="270">
        <f t="shared" si="11"/>
        <v>0.1</v>
      </c>
      <c r="V41" s="270">
        <f t="shared" si="12"/>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9"/>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0"/>
        <v>1</v>
      </c>
      <c r="Q42" s="247">
        <f t="shared" ca="1" si="4"/>
        <v>0</v>
      </c>
      <c r="R42" s="262" t="s">
        <v>38</v>
      </c>
      <c r="S42" s="280"/>
      <c r="T42" s="270">
        <v>0.6</v>
      </c>
      <c r="U42" s="270">
        <f t="shared" si="11"/>
        <v>0.1</v>
      </c>
      <c r="V42" s="270">
        <f t="shared" si="12"/>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9"/>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0"/>
        <v>1</v>
      </c>
      <c r="Q43" s="247">
        <f t="shared" ca="1" si="4"/>
        <v>0</v>
      </c>
      <c r="R43" s="262" t="s">
        <v>38</v>
      </c>
      <c r="S43" s="280"/>
      <c r="T43" s="270">
        <v>0.6</v>
      </c>
      <c r="U43" s="270">
        <f t="shared" si="11"/>
        <v>0.1</v>
      </c>
      <c r="V43" s="270">
        <f t="shared" si="12"/>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2056</v>
      </c>
      <c r="G44" s="240">
        <f>COUNTA(G45:G45)</f>
        <v>1</v>
      </c>
      <c r="H44" s="294" t="s">
        <v>2052</v>
      </c>
      <c r="I44" s="276" t="s">
        <v>38</v>
      </c>
      <c r="J44" s="277">
        <f>MIN(J45)</f>
        <v>45603</v>
      </c>
      <c r="K44" s="277">
        <f>MIN(K45)</f>
        <v>45604</v>
      </c>
      <c r="L44" s="277">
        <f>MIN(L45:L224)</f>
        <v>45600</v>
      </c>
      <c r="M44" s="277">
        <f>MIN(M45:M224)</f>
        <v>45600</v>
      </c>
      <c r="N44" s="323">
        <f t="array" ref="N44">MAX(IF(W44:CI44&gt;0,$W$16:$CI$16))</f>
        <v>45611</v>
      </c>
      <c r="O44" s="314">
        <f>SUMPRODUCT(O45,U45)/SUM(U45)</f>
        <v>0.25</v>
      </c>
      <c r="P44" s="314">
        <f ca="1">SUMPRODUCT(P45,U45)/SUM(U45)</f>
        <v>1</v>
      </c>
      <c r="Q44" s="247">
        <f t="shared" ref="Q44:Q49" ca="1" si="13">O44-P44</f>
        <v>-0.75</v>
      </c>
      <c r="R44" s="262" t="s">
        <v>2053</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3"/>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2005</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3"/>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3"/>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3"/>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3"/>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2005</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4">O50-P50</f>
        <v>0</v>
      </c>
      <c r="R50" s="262" t="s">
        <v>2016</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5">E51&amp;G51</f>
        <v>lt827_mthd_usd_instrmntambito</v>
      </c>
      <c r="B51" s="142" t="s">
        <v>26</v>
      </c>
      <c r="C51" s="138" t="s">
        <v>26</v>
      </c>
      <c r="D51" s="235" t="s">
        <v>40</v>
      </c>
      <c r="E51" s="238" t="s">
        <v>1949</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6">IF(TODAY()&lt;=L51,0,MIN((TODAY()-L51)/(M51-L51+1),100%))</f>
        <v>1</v>
      </c>
      <c r="Q51" s="247">
        <f t="shared" ca="1" si="14"/>
        <v>0</v>
      </c>
      <c r="R51" s="262" t="s">
        <v>38</v>
      </c>
      <c r="S51" s="280"/>
      <c r="T51" s="270">
        <v>4.0999999999999996</v>
      </c>
      <c r="U51" s="270">
        <f t="shared" ref="U51:U60" si="17">ROUND(T51/8,1)</f>
        <v>0.5</v>
      </c>
      <c r="V51" s="270">
        <f t="shared" ref="V51:V60" si="1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5"/>
        <v>lt827_mthd_usd_instrmntref_date</v>
      </c>
      <c r="B52" s="142" t="s">
        <v>26</v>
      </c>
      <c r="C52" s="138" t="s">
        <v>26</v>
      </c>
      <c r="D52" s="235" t="s">
        <v>40</v>
      </c>
      <c r="E52" s="238" t="s">
        <v>1949</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6"/>
        <v>1</v>
      </c>
      <c r="Q52" s="247">
        <f t="shared" ca="1" si="14"/>
        <v>0</v>
      </c>
      <c r="R52" s="262" t="s">
        <v>38</v>
      </c>
      <c r="S52" s="280"/>
      <c r="T52" s="270">
        <v>4.0999999999999996</v>
      </c>
      <c r="U52" s="270">
        <f t="shared" si="17"/>
        <v>0.5</v>
      </c>
      <c r="V52" s="270">
        <f t="shared" si="1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5"/>
        <v>lt827_mthd_usd_instrmntordem</v>
      </c>
      <c r="B53" s="142" t="s">
        <v>26</v>
      </c>
      <c r="C53" s="138" t="s">
        <v>26</v>
      </c>
      <c r="D53" s="235" t="s">
        <v>40</v>
      </c>
      <c r="E53" s="238" t="s">
        <v>1949</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6"/>
        <v>1</v>
      </c>
      <c r="Q53" s="247">
        <f t="shared" ca="1" si="14"/>
        <v>0</v>
      </c>
      <c r="R53" s="262" t="s">
        <v>38</v>
      </c>
      <c r="S53" s="280"/>
      <c r="T53" s="270">
        <v>4.0999999999999996</v>
      </c>
      <c r="U53" s="270">
        <f t="shared" si="17"/>
        <v>0.5</v>
      </c>
      <c r="V53" s="270">
        <f t="shared" si="1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5"/>
        <v>lt827_mthd_usd_instrmnttabela</v>
      </c>
      <c r="B54" s="142" t="s">
        <v>26</v>
      </c>
      <c r="C54" s="138" t="s">
        <v>26</v>
      </c>
      <c r="D54" s="235" t="s">
        <v>40</v>
      </c>
      <c r="E54" s="238" t="s">
        <v>1949</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6"/>
        <v>1</v>
      </c>
      <c r="Q54" s="247">
        <f t="shared" ca="1" si="14"/>
        <v>0</v>
      </c>
      <c r="R54" s="262" t="s">
        <v>38</v>
      </c>
      <c r="S54" s="280"/>
      <c r="T54" s="270">
        <v>4.0999999999999996</v>
      </c>
      <c r="U54" s="270">
        <f t="shared" si="17"/>
        <v>0.5</v>
      </c>
      <c r="V54" s="270">
        <f t="shared" si="1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5"/>
        <v>lt827_mthd_usd_instrmntorigem_scp1_emss</v>
      </c>
      <c r="B55" s="142" t="s">
        <v>26</v>
      </c>
      <c r="C55" s="138" t="s">
        <v>26</v>
      </c>
      <c r="D55" s="235" t="s">
        <v>40</v>
      </c>
      <c r="E55" s="238" t="s">
        <v>1949</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6"/>
        <v>1</v>
      </c>
      <c r="Q55" s="247">
        <f t="shared" ca="1" si="14"/>
        <v>0</v>
      </c>
      <c r="R55" s="262" t="s">
        <v>38</v>
      </c>
      <c r="S55" s="280"/>
      <c r="T55" s="270">
        <v>4.0999999999999996</v>
      </c>
      <c r="U55" s="270">
        <f t="shared" si="17"/>
        <v>0.5</v>
      </c>
      <c r="V55" s="270">
        <f t="shared" si="1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5"/>
        <v>lt827_mthd_usd_instrmntorigem_scp2_emss</v>
      </c>
      <c r="B56" s="142" t="s">
        <v>26</v>
      </c>
      <c r="C56" s="138" t="s">
        <v>26</v>
      </c>
      <c r="D56" s="235" t="s">
        <v>40</v>
      </c>
      <c r="E56" s="238" t="s">
        <v>1949</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6"/>
        <v>1</v>
      </c>
      <c r="Q56" s="247">
        <f t="shared" ca="1" si="14"/>
        <v>0</v>
      </c>
      <c r="R56" s="262" t="s">
        <v>38</v>
      </c>
      <c r="S56" s="280"/>
      <c r="T56" s="270">
        <v>4.0999999999999996</v>
      </c>
      <c r="U56" s="270">
        <f t="shared" si="17"/>
        <v>0.5</v>
      </c>
      <c r="V56" s="270">
        <f t="shared" si="1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5"/>
        <v>lt827_mthd_usd_instrmntorigem_scp3_emss</v>
      </c>
      <c r="B57" s="142" t="s">
        <v>26</v>
      </c>
      <c r="C57" s="138" t="s">
        <v>26</v>
      </c>
      <c r="D57" s="235" t="s">
        <v>40</v>
      </c>
      <c r="E57" s="238" t="s">
        <v>1949</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6"/>
        <v>1</v>
      </c>
      <c r="Q57" s="247">
        <f t="shared" ca="1" si="14"/>
        <v>0</v>
      </c>
      <c r="R57" s="262" t="s">
        <v>38</v>
      </c>
      <c r="S57" s="280"/>
      <c r="T57" s="270">
        <v>4.0999999999999996</v>
      </c>
      <c r="U57" s="270">
        <f t="shared" si="17"/>
        <v>0.5</v>
      </c>
      <c r="V57" s="270">
        <f t="shared" si="1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5"/>
        <v>lt827_mthd_usd_instrmntmthd_usd_instrmnt_scp_1</v>
      </c>
      <c r="B58" s="142" t="s">
        <v>26</v>
      </c>
      <c r="C58" s="138" t="s">
        <v>26</v>
      </c>
      <c r="D58" s="235" t="s">
        <v>40</v>
      </c>
      <c r="E58" s="238" t="s">
        <v>1949</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6"/>
        <v>1</v>
      </c>
      <c r="Q58" s="247">
        <f t="shared" ca="1" si="14"/>
        <v>0</v>
      </c>
      <c r="R58" s="262" t="s">
        <v>38</v>
      </c>
      <c r="S58" s="280"/>
      <c r="T58" s="270">
        <v>4.0999999999999996</v>
      </c>
      <c r="U58" s="270">
        <f t="shared" si="17"/>
        <v>0.5</v>
      </c>
      <c r="V58" s="270">
        <f t="shared" si="1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5"/>
        <v>lt827_mthd_usd_instrmntmthd_usd_instrmnt_scp_2</v>
      </c>
      <c r="B59" s="142" t="s">
        <v>26</v>
      </c>
      <c r="C59" s="138" t="s">
        <v>26</v>
      </c>
      <c r="D59" s="235" t="s">
        <v>40</v>
      </c>
      <c r="E59" s="238" t="s">
        <v>1949</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6"/>
        <v>1</v>
      </c>
      <c r="Q59" s="247">
        <f t="shared" ca="1" si="14"/>
        <v>0</v>
      </c>
      <c r="R59" s="262" t="s">
        <v>38</v>
      </c>
      <c r="S59" s="280"/>
      <c r="T59" s="270">
        <v>4.0999999999999996</v>
      </c>
      <c r="U59" s="270">
        <f t="shared" si="17"/>
        <v>0.5</v>
      </c>
      <c r="V59" s="270">
        <f t="shared" si="1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5"/>
        <v>lt827_mthd_usd_instrmntmthd_usd_instrmnt_scp_3</v>
      </c>
      <c r="B60" s="142" t="s">
        <v>26</v>
      </c>
      <c r="C60" s="138" t="s">
        <v>26</v>
      </c>
      <c r="D60" s="235" t="s">
        <v>40</v>
      </c>
      <c r="E60" s="238" t="s">
        <v>1949</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6"/>
        <v>1</v>
      </c>
      <c r="Q60" s="247">
        <f t="shared" ca="1" si="14"/>
        <v>0</v>
      </c>
      <c r="R60" s="262" t="s">
        <v>38</v>
      </c>
      <c r="S60" s="280"/>
      <c r="T60" s="270">
        <v>4.0999999999999996</v>
      </c>
      <c r="U60" s="270">
        <f t="shared" si="17"/>
        <v>0.5</v>
      </c>
      <c r="V60" s="270">
        <f t="shared" si="1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2005</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19">O61-P61</f>
        <v>0</v>
      </c>
      <c r="R61" s="262" t="s">
        <v>2016</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1">IF(TODAY()&lt;=L62,0,MIN((TODAY()-L62)/(M62-L62+1),100%))</f>
        <v>1</v>
      </c>
      <c r="Q62" s="247">
        <f t="shared" ca="1" si="19"/>
        <v>0</v>
      </c>
      <c r="R62" s="261"/>
      <c r="S62" s="280"/>
      <c r="T62" s="270">
        <v>4.0999999999999996</v>
      </c>
      <c r="U62" s="270">
        <f t="shared" ref="U62:U75" si="22">ROUND(T62/8,1)</f>
        <v>0.5</v>
      </c>
      <c r="V62" s="270">
        <f t="shared" ref="V62:V75" si="2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1"/>
        <v>1</v>
      </c>
      <c r="Q63" s="247">
        <f t="shared" ca="1" si="19"/>
        <v>0</v>
      </c>
      <c r="R63" s="261"/>
      <c r="S63" s="280"/>
      <c r="T63" s="270">
        <v>4.0999999999999996</v>
      </c>
      <c r="U63" s="270">
        <f t="shared" si="22"/>
        <v>0.5</v>
      </c>
      <c r="V63" s="270">
        <f t="shared" si="2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1"/>
        <v>1</v>
      </c>
      <c r="Q64" s="247">
        <f t="shared" ca="1" si="19"/>
        <v>0</v>
      </c>
      <c r="R64" s="261"/>
      <c r="S64" s="280"/>
      <c r="T64" s="270">
        <v>4.0999999999999996</v>
      </c>
      <c r="U64" s="270">
        <f t="shared" si="22"/>
        <v>0.5</v>
      </c>
      <c r="V64" s="270">
        <f t="shared" si="2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1"/>
        <v>1</v>
      </c>
      <c r="Q65" s="247">
        <f t="shared" ca="1" si="19"/>
        <v>0</v>
      </c>
      <c r="R65" s="261"/>
      <c r="S65" s="280"/>
      <c r="T65" s="270">
        <v>4.0999999999999996</v>
      </c>
      <c r="U65" s="270">
        <f t="shared" si="22"/>
        <v>0.5</v>
      </c>
      <c r="V65" s="270">
        <f t="shared" si="2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1"/>
        <v>1</v>
      </c>
      <c r="Q66" s="247">
        <f t="shared" ca="1" si="19"/>
        <v>0</v>
      </c>
      <c r="R66" s="261"/>
      <c r="S66" s="280"/>
      <c r="T66" s="270">
        <v>4.0999999999999996</v>
      </c>
      <c r="U66" s="270">
        <f t="shared" si="22"/>
        <v>0.5</v>
      </c>
      <c r="V66" s="270">
        <f t="shared" si="2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1"/>
        <v>1</v>
      </c>
      <c r="Q67" s="247">
        <f t="shared" ca="1" si="19"/>
        <v>0</v>
      </c>
      <c r="R67" s="261"/>
      <c r="S67" s="280"/>
      <c r="T67" s="270">
        <v>4.0999999999999996</v>
      </c>
      <c r="U67" s="270">
        <f t="shared" si="22"/>
        <v>0.5</v>
      </c>
      <c r="V67" s="270">
        <f t="shared" si="2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1"/>
        <v>1</v>
      </c>
      <c r="Q68" s="247">
        <f t="shared" ca="1" si="19"/>
        <v>0</v>
      </c>
      <c r="R68" s="261"/>
      <c r="S68" s="280"/>
      <c r="T68" s="270">
        <v>4.0999999999999996</v>
      </c>
      <c r="U68" s="270">
        <f t="shared" si="22"/>
        <v>0.5</v>
      </c>
      <c r="V68" s="270">
        <f t="shared" si="2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1"/>
        <v>1</v>
      </c>
      <c r="Q69" s="247">
        <f t="shared" ca="1" si="19"/>
        <v>0</v>
      </c>
      <c r="R69" s="261"/>
      <c r="S69" s="280"/>
      <c r="T69" s="270">
        <v>4.0999999999999996</v>
      </c>
      <c r="U69" s="270">
        <f t="shared" si="22"/>
        <v>0.5</v>
      </c>
      <c r="V69" s="270">
        <f t="shared" si="2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1"/>
        <v>1</v>
      </c>
      <c r="Q70" s="247">
        <f t="shared" ca="1" si="19"/>
        <v>0</v>
      </c>
      <c r="R70" s="261"/>
      <c r="S70" s="280"/>
      <c r="T70" s="270">
        <v>4.0999999999999996</v>
      </c>
      <c r="U70" s="270">
        <f t="shared" si="22"/>
        <v>0.5</v>
      </c>
      <c r="V70" s="270">
        <f t="shared" si="2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1"/>
        <v>1</v>
      </c>
      <c r="Q71" s="247">
        <f t="shared" ca="1" si="19"/>
        <v>0</v>
      </c>
      <c r="R71" s="261"/>
      <c r="S71" s="280"/>
      <c r="T71" s="270">
        <v>4.0999999999999996</v>
      </c>
      <c r="U71" s="270">
        <f t="shared" si="22"/>
        <v>0.5</v>
      </c>
      <c r="V71" s="270">
        <f t="shared" si="2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1"/>
        <v>1</v>
      </c>
      <c r="Q72" s="247">
        <f t="shared" ca="1" si="19"/>
        <v>0</v>
      </c>
      <c r="R72" s="261"/>
      <c r="S72" s="280"/>
      <c r="T72" s="270">
        <v>4.0999999999999996</v>
      </c>
      <c r="U72" s="270">
        <f t="shared" si="22"/>
        <v>0.5</v>
      </c>
      <c r="V72" s="270">
        <f t="shared" si="2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1"/>
        <v>1</v>
      </c>
      <c r="Q73" s="247">
        <f t="shared" ca="1" si="19"/>
        <v>0</v>
      </c>
      <c r="R73" s="261"/>
      <c r="S73" s="280"/>
      <c r="T73" s="270">
        <v>4.0999999999999996</v>
      </c>
      <c r="U73" s="270">
        <f t="shared" si="22"/>
        <v>0.5</v>
      </c>
      <c r="V73" s="270">
        <f t="shared" si="2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1"/>
        <v>1</v>
      </c>
      <c r="Q74" s="247">
        <f t="shared" ca="1" si="19"/>
        <v>0</v>
      </c>
      <c r="R74" s="261"/>
      <c r="S74" s="280"/>
      <c r="T74" s="270">
        <v>4.0999999999999996</v>
      </c>
      <c r="U74" s="270">
        <f t="shared" si="22"/>
        <v>0.5</v>
      </c>
      <c r="V74" s="270">
        <f t="shared" si="2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1"/>
        <v>1</v>
      </c>
      <c r="Q75" s="247">
        <f t="shared" ca="1" si="19"/>
        <v>0</v>
      </c>
      <c r="R75" s="261"/>
      <c r="S75" s="280"/>
      <c r="T75" s="270">
        <v>4.0999999999999996</v>
      </c>
      <c r="U75" s="270">
        <f t="shared" si="22"/>
        <v>0.5</v>
      </c>
      <c r="V75" s="270">
        <f t="shared" si="2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2005</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2016</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2005</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4">O80-P80</f>
        <v>0</v>
      </c>
      <c r="R80" s="373" t="s">
        <v>2040</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4"/>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4"/>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2015</v>
      </c>
      <c r="G83" s="240">
        <f>COUNTA(G84:G85)</f>
        <v>2</v>
      </c>
      <c r="H83" s="295" t="s">
        <v>2005</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4"/>
        <v>0</v>
      </c>
      <c r="R83" s="373" t="s">
        <v>2070</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2015</v>
      </c>
      <c r="G86" s="240">
        <f>COUNTA(G87)</f>
        <v>1</v>
      </c>
      <c r="H86" s="295" t="s">
        <v>2005</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4"/>
        <v>0</v>
      </c>
      <c r="R86" s="373" t="s">
        <v>2048</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2005</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4"/>
        <v>0</v>
      </c>
      <c r="R88" s="373" t="s">
        <v>2040</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4"/>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4"/>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4"/>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2042</v>
      </c>
      <c r="G92" s="240">
        <f>COUNTA(G93)</f>
        <v>1</v>
      </c>
      <c r="H92" s="295" t="s">
        <v>2005</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4"/>
        <v>0</v>
      </c>
      <c r="R92" s="373" t="s">
        <v>2050</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2"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2043</v>
      </c>
      <c r="G94" s="240">
        <f>COUNTA(G95)</f>
        <v>1</v>
      </c>
      <c r="H94" s="295" t="s">
        <v>2005</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3" t="s">
        <v>2050</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2"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2044</v>
      </c>
      <c r="G96" s="240">
        <f>COUNTA(G97)</f>
        <v>1</v>
      </c>
      <c r="H96" s="295" t="s">
        <v>2005</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4"/>
        <v>0</v>
      </c>
      <c r="R96" s="373" t="s">
        <v>2048</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4"/>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4" t="s">
        <v>369</v>
      </c>
      <c r="F98" s="239" t="s">
        <v>1993</v>
      </c>
      <c r="G98" s="240">
        <f>COUNTA(G99:G101)</f>
        <v>3</v>
      </c>
      <c r="H98" s="295" t="s">
        <v>2005</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4"/>
        <v>0</v>
      </c>
      <c r="R98" s="373" t="s">
        <v>2040</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4"/>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4"/>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4"/>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4" t="s">
        <v>369</v>
      </c>
      <c r="F102" s="239" t="s">
        <v>1993</v>
      </c>
      <c r="G102" s="240">
        <f>COUNTA(G103)</f>
        <v>1</v>
      </c>
      <c r="H102" s="295" t="s">
        <v>2005</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3" t="s">
        <v>2048</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4" t="s">
        <v>369</v>
      </c>
      <c r="F104" s="239" t="s">
        <v>2042</v>
      </c>
      <c r="G104" s="240">
        <f>COUNTA(G105)</f>
        <v>1</v>
      </c>
      <c r="H104" s="275" t="s">
        <v>2011</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ca="1">O104-P104</f>
        <v>-1</v>
      </c>
      <c r="R104" s="262" t="s">
        <v>2041</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ca="1">IF(TODAY()&lt;=L105,0,MIN((TODAY()-L105)/(M105-L105+1),100%))</f>
        <v>1</v>
      </c>
      <c r="Q105" s="247">
        <f ca="1">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2005</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4"/>
        <v>0</v>
      </c>
      <c r="R106" s="373" t="s">
        <v>2047</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5">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6">IF(TODAY()&lt;=L107,0,MIN((TODAY()-L107)/(M107-L107+1),100%))</f>
        <v>1</v>
      </c>
      <c r="Q107" s="248">
        <f t="shared" ca="1" si="24"/>
        <v>0</v>
      </c>
      <c r="R107" s="372" t="s">
        <v>38</v>
      </c>
      <c r="S107" s="280"/>
      <c r="T107" s="270">
        <v>16.100000000000001</v>
      </c>
      <c r="U107" s="299">
        <v>1</v>
      </c>
      <c r="V107" s="270">
        <f t="shared" ref="V107:V120" si="27">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5"/>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6"/>
        <v>1</v>
      </c>
      <c r="Q108" s="248">
        <f t="shared" ca="1" si="24"/>
        <v>0</v>
      </c>
      <c r="R108" s="372" t="s">
        <v>38</v>
      </c>
      <c r="S108" s="280"/>
      <c r="T108" s="270">
        <v>16.100000000000001</v>
      </c>
      <c r="U108" s="299">
        <v>1</v>
      </c>
      <c r="V108" s="270">
        <f t="shared" si="27"/>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5"/>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6"/>
        <v>1</v>
      </c>
      <c r="Q109" s="248">
        <f t="shared" ca="1" si="24"/>
        <v>0</v>
      </c>
      <c r="R109" s="372" t="s">
        <v>38</v>
      </c>
      <c r="S109" s="280"/>
      <c r="T109" s="270">
        <v>16.100000000000001</v>
      </c>
      <c r="U109" s="299">
        <v>1</v>
      </c>
      <c r="V109" s="270">
        <f t="shared" si="27"/>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5"/>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6"/>
        <v>1</v>
      </c>
      <c r="Q110" s="248">
        <f t="shared" ca="1" si="24"/>
        <v>0</v>
      </c>
      <c r="R110" s="372" t="s">
        <v>38</v>
      </c>
      <c r="S110" s="280"/>
      <c r="T110" s="300">
        <v>4</v>
      </c>
      <c r="U110" s="270">
        <f t="shared" ref="U110:U120" si="28">ROUND(T110/8,1)</f>
        <v>0.5</v>
      </c>
      <c r="V110" s="270">
        <f t="shared" si="27"/>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5"/>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6"/>
        <v>1</v>
      </c>
      <c r="Q111" s="248">
        <f t="shared" ca="1" si="24"/>
        <v>0</v>
      </c>
      <c r="R111" s="372" t="s">
        <v>38</v>
      </c>
      <c r="S111" s="280"/>
      <c r="T111" s="300">
        <v>4</v>
      </c>
      <c r="U111" s="270">
        <f t="shared" si="28"/>
        <v>0.5</v>
      </c>
      <c r="V111" s="270">
        <f t="shared" si="27"/>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5"/>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6"/>
        <v>1</v>
      </c>
      <c r="Q112" s="248">
        <f t="shared" ca="1" si="24"/>
        <v>0</v>
      </c>
      <c r="R112" s="372" t="s">
        <v>38</v>
      </c>
      <c r="S112" s="280"/>
      <c r="T112" s="300">
        <v>4</v>
      </c>
      <c r="U112" s="270">
        <f t="shared" si="28"/>
        <v>0.5</v>
      </c>
      <c r="V112" s="270">
        <f t="shared" si="27"/>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5"/>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6"/>
        <v>1</v>
      </c>
      <c r="Q113" s="248">
        <f t="shared" ca="1" si="24"/>
        <v>0</v>
      </c>
      <c r="R113" s="372" t="s">
        <v>38</v>
      </c>
      <c r="S113" s="280"/>
      <c r="T113" s="300">
        <v>4</v>
      </c>
      <c r="U113" s="270">
        <f t="shared" si="28"/>
        <v>0.5</v>
      </c>
      <c r="V113" s="270">
        <f t="shared" si="27"/>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5"/>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6"/>
        <v>1</v>
      </c>
      <c r="Q114" s="248">
        <f t="shared" ca="1" si="24"/>
        <v>0</v>
      </c>
      <c r="R114" s="372" t="s">
        <v>38</v>
      </c>
      <c r="S114" s="280"/>
      <c r="T114" s="300">
        <v>4</v>
      </c>
      <c r="U114" s="270">
        <f t="shared" si="28"/>
        <v>0.5</v>
      </c>
      <c r="V114" s="270">
        <f t="shared" si="27"/>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5"/>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6"/>
        <v>1</v>
      </c>
      <c r="Q115" s="248">
        <f t="shared" ca="1" si="24"/>
        <v>0</v>
      </c>
      <c r="R115" s="372" t="s">
        <v>38</v>
      </c>
      <c r="S115" s="280"/>
      <c r="T115" s="300">
        <v>4</v>
      </c>
      <c r="U115" s="270">
        <f t="shared" si="28"/>
        <v>0.5</v>
      </c>
      <c r="V115" s="270">
        <f t="shared" si="27"/>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5"/>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6"/>
        <v>1</v>
      </c>
      <c r="Q116" s="248">
        <f t="shared" ca="1" si="24"/>
        <v>0</v>
      </c>
      <c r="R116" s="372" t="s">
        <v>38</v>
      </c>
      <c r="S116" s="280"/>
      <c r="T116" s="300">
        <v>4</v>
      </c>
      <c r="U116" s="270">
        <f t="shared" si="28"/>
        <v>0.5</v>
      </c>
      <c r="V116" s="270">
        <f t="shared" si="27"/>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5"/>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6"/>
        <v>1</v>
      </c>
      <c r="Q117" s="248">
        <f t="shared" ca="1" si="24"/>
        <v>0</v>
      </c>
      <c r="R117" s="372" t="s">
        <v>38</v>
      </c>
      <c r="S117" s="280"/>
      <c r="T117" s="300">
        <v>4</v>
      </c>
      <c r="U117" s="270">
        <f t="shared" si="28"/>
        <v>0.5</v>
      </c>
      <c r="V117" s="270">
        <f t="shared" si="27"/>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5"/>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6"/>
        <v>1</v>
      </c>
      <c r="Q118" s="248">
        <f t="shared" ca="1" si="24"/>
        <v>0</v>
      </c>
      <c r="R118" s="372" t="s">
        <v>38</v>
      </c>
      <c r="S118" s="280"/>
      <c r="T118" s="300">
        <v>4</v>
      </c>
      <c r="U118" s="270">
        <f t="shared" si="28"/>
        <v>0.5</v>
      </c>
      <c r="V118" s="270">
        <f t="shared" si="27"/>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5"/>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6"/>
        <v>1</v>
      </c>
      <c r="Q119" s="248">
        <f t="shared" ca="1" si="24"/>
        <v>0</v>
      </c>
      <c r="R119" s="372" t="s">
        <v>38</v>
      </c>
      <c r="S119" s="280"/>
      <c r="T119" s="300">
        <v>4</v>
      </c>
      <c r="U119" s="270">
        <f t="shared" si="28"/>
        <v>0.5</v>
      </c>
      <c r="V119" s="270">
        <f t="shared" si="27"/>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5"/>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6"/>
        <v>1</v>
      </c>
      <c r="Q120" s="248">
        <f t="shared" ca="1" si="24"/>
        <v>0</v>
      </c>
      <c r="R120" s="372" t="s">
        <v>38</v>
      </c>
      <c r="S120" s="280"/>
      <c r="T120" s="300">
        <v>4</v>
      </c>
      <c r="U120" s="270">
        <f t="shared" si="28"/>
        <v>0.5</v>
      </c>
      <c r="V120" s="270">
        <f t="shared" si="27"/>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2005</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4"/>
        <v>0</v>
      </c>
      <c r="R121" s="373" t="s">
        <v>2050</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4"/>
        <v>0</v>
      </c>
      <c r="R122" s="372"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2015</v>
      </c>
      <c r="G123" s="240">
        <f>COUNTA(G124:G127)</f>
        <v>4</v>
      </c>
      <c r="H123" s="295" t="s">
        <v>2005</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4"/>
        <v>0</v>
      </c>
      <c r="R123" s="373" t="s">
        <v>2040</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4"/>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4"/>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4"/>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4"/>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4" t="s">
        <v>336</v>
      </c>
      <c r="F128" s="378" t="s">
        <v>2046</v>
      </c>
      <c r="G128" s="240">
        <f>COUNTA(G129:G129)</f>
        <v>1</v>
      </c>
      <c r="H128" s="295" t="s">
        <v>2005</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29">O128-P128</f>
        <v>0</v>
      </c>
      <c r="R128" s="373" t="s">
        <v>2047</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lt003_entityflg_grp_nfrd_applcblty</v>
      </c>
      <c r="B129" s="142" t="s">
        <v>26</v>
      </c>
      <c r="C129" s="138" t="s">
        <v>26</v>
      </c>
      <c r="D129" s="235" t="s">
        <v>40</v>
      </c>
      <c r="E129" s="238" t="s">
        <v>336</v>
      </c>
      <c r="F129" s="238"/>
      <c r="G129" s="238" t="s">
        <v>365</v>
      </c>
      <c r="H129" s="235" t="str">
        <f>VLOOKUP(A129,'2. Status Detalhe Campos'!$A$7:$G$574,7,0)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0">IF(TODAY()&lt;=L129,0,MIN((TODAY()-L129)/(M129-L129+1),100%))</f>
        <v>1</v>
      </c>
      <c r="Q129" s="247">
        <f t="shared" ca="1" si="29"/>
        <v>0</v>
      </c>
      <c r="R129" s="261"/>
      <c r="S129" s="280"/>
      <c r="T129" s="270">
        <v>4.0999999999999996</v>
      </c>
      <c r="U129" s="270">
        <f>ROUND(T129/8,1)</f>
        <v>0.5</v>
      </c>
      <c r="V129" s="270">
        <f t="shared" ref="V129:V135" si="31">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4" t="s">
        <v>336</v>
      </c>
      <c r="F130" s="378" t="s">
        <v>2046</v>
      </c>
      <c r="G130" s="459">
        <f>COUNTA(G131)</f>
        <v>1</v>
      </c>
      <c r="H130" s="458" t="s">
        <v>573</v>
      </c>
      <c r="I130" s="278">
        <f>MAX(I131:I138)</f>
        <v>45589</v>
      </c>
      <c r="J130" s="277">
        <f>MIN(J131:J138)</f>
        <v>45596</v>
      </c>
      <c r="K130" s="278">
        <f>MIN(K131:K138)</f>
        <v>45596</v>
      </c>
      <c r="L130" s="277">
        <f>MIN(L131:L138)</f>
        <v>45623</v>
      </c>
      <c r="M130" s="278">
        <f>MAX(M131:M138)</f>
        <v>45667</v>
      </c>
      <c r="N130" s="323" t="s">
        <v>1951</v>
      </c>
      <c r="O130" s="314">
        <f>SUMPRODUCT(O131:O132,U131:U132)/SUM(U131:U132)</f>
        <v>0</v>
      </c>
      <c r="P130" s="314">
        <f ca="1">SUMPRODUCT(P131:P132,U131:U132)/SUM(U131:U132)</f>
        <v>1</v>
      </c>
      <c r="Q130" s="256">
        <f t="shared" ref="Q130:Q131" ca="1" si="32">O130-P130</f>
        <v>-1</v>
      </c>
      <c r="R130" s="373" t="s">
        <v>2077</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hidden="1" outlineLevel="1">
      <c r="A131" s="274" t="str">
        <f>E131&amp;G131</f>
        <v>lt003_entitynace_esg</v>
      </c>
      <c r="B131" s="142" t="s">
        <v>26</v>
      </c>
      <c r="C131" s="138" t="s">
        <v>26</v>
      </c>
      <c r="D131" s="235" t="s">
        <v>40</v>
      </c>
      <c r="E131" s="238" t="s">
        <v>336</v>
      </c>
      <c r="F131" s="238"/>
      <c r="G131" s="238" t="s">
        <v>337</v>
      </c>
      <c r="H131" s="235" t="str">
        <f>VLOOKUP(A131,'2. Status Detalhe Campos'!$A$7:$G$574,7,0)</f>
        <v>3. Pendente de outros desenvolvimentos</v>
      </c>
      <c r="I131" s="276">
        <v>45583</v>
      </c>
      <c r="J131" s="301">
        <v>45596</v>
      </c>
      <c r="K131" s="285">
        <v>45596</v>
      </c>
      <c r="L131" s="290">
        <f t="array" ref="L131">MIN(IF(W131:CI131&gt;0,$W$16:$CI$16))</f>
        <v>45623</v>
      </c>
      <c r="M131" s="291">
        <f t="array" ref="M131">MAX(IF(W131:CI131&gt;0,$W$16:$CI$16))</f>
        <v>45623</v>
      </c>
      <c r="N131" s="291"/>
      <c r="O131" s="248">
        <f>VLOOKUP(H131,Auxiliar!$B$16:$E$24,4,0)</f>
        <v>0</v>
      </c>
      <c r="P131" s="248">
        <f t="shared" ref="P131" ca="1" si="33">IF(TODAY()&lt;=L131,0,MIN((TODAY()-L131)/(M131-L131+1),100%))</f>
        <v>1</v>
      </c>
      <c r="Q131" s="247">
        <f t="shared" ca="1" si="32"/>
        <v>-1</v>
      </c>
      <c r="R131" s="261"/>
      <c r="S131" s="280"/>
      <c r="T131" s="270">
        <v>4.0999999999999996</v>
      </c>
      <c r="U131" s="270">
        <f>ROUND(T131/8,1)</f>
        <v>0.5</v>
      </c>
      <c r="V131" s="270">
        <f t="shared" ref="V131" si="34">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4" t="s">
        <v>336</v>
      </c>
      <c r="F132" s="239" t="s">
        <v>2046</v>
      </c>
      <c r="G132" s="459">
        <f>COUNTA(G133:G135)</f>
        <v>3</v>
      </c>
      <c r="H132" s="275" t="s">
        <v>2009</v>
      </c>
      <c r="I132" s="278">
        <f>MAX(I133:I139)</f>
        <v>45589</v>
      </c>
      <c r="J132" s="277">
        <f>MIN(J133:J139)</f>
        <v>45596</v>
      </c>
      <c r="K132" s="278">
        <f>MIN(K133:K139)</f>
        <v>45596</v>
      </c>
      <c r="L132" s="277">
        <f>MIN(L133:L139)</f>
        <v>45625</v>
      </c>
      <c r="M132" s="278">
        <f>MAX(M133:M139)</f>
        <v>45667</v>
      </c>
      <c r="N132" s="323" t="s">
        <v>1951</v>
      </c>
      <c r="O132" s="314">
        <f>SUMPRODUCT(O133:O135,U133:U135)/SUM(U133:U135)</f>
        <v>0</v>
      </c>
      <c r="P132" s="314">
        <f ca="1">SUMPRODUCT(P133:P135,U133:U135)/SUM(U133:U135)</f>
        <v>1</v>
      </c>
      <c r="Q132" s="256">
        <f t="shared" ca="1" si="29"/>
        <v>-1</v>
      </c>
      <c r="R132" s="373" t="s">
        <v>2076</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E133&amp;G133</f>
        <v>lt003_entitygrp_emssns_scp1</v>
      </c>
      <c r="B133" s="142" t="s">
        <v>26</v>
      </c>
      <c r="C133" s="138" t="s">
        <v>26</v>
      </c>
      <c r="D133" s="235" t="s">
        <v>40</v>
      </c>
      <c r="E133" s="238" t="s">
        <v>336</v>
      </c>
      <c r="F133" s="238"/>
      <c r="G133" s="238" t="s">
        <v>366</v>
      </c>
      <c r="H133" s="235" t="str">
        <f>VLOOKUP(A133,'2. Status Detalhe Campos'!$A$7:$G$574,7,0)</f>
        <v>3. Pendente de outros desenvolvimentos</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ca="1">IF(TODAY()&lt;=L133,0,MIN((TODAY()-L133)/(M133-L133+1),100%))</f>
        <v>1</v>
      </c>
      <c r="Q133" s="247">
        <f t="shared" ca="1" si="29"/>
        <v>-1</v>
      </c>
      <c r="R133" s="373"/>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lt003_entitygrp_emssns_scp2</v>
      </c>
      <c r="B134" s="142" t="s">
        <v>26</v>
      </c>
      <c r="C134" s="138" t="s">
        <v>26</v>
      </c>
      <c r="D134" s="235" t="s">
        <v>40</v>
      </c>
      <c r="E134" s="238" t="s">
        <v>336</v>
      </c>
      <c r="F134" s="238"/>
      <c r="G134" s="238" t="s">
        <v>367</v>
      </c>
      <c r="H134" s="235" t="str">
        <f>VLOOKUP(A134,'2. Status Detalhe Campos'!$A$7:$G$574,7,0)</f>
        <v>3. Pendente de outros desenvolvimentos</v>
      </c>
      <c r="I134" s="285">
        <v>45588</v>
      </c>
      <c r="J134" s="301">
        <v>45596</v>
      </c>
      <c r="K134" s="285">
        <v>45596</v>
      </c>
      <c r="L134" s="290">
        <f t="array" ref="L134">MIN(IF(W134:CI134&gt;0,$W$16:$CI$16))</f>
        <v>45639</v>
      </c>
      <c r="M134" s="291">
        <f t="array" ref="M134">MAX(IF(W134:CI134&gt;0,$W$16:$CI$16))</f>
        <v>45639</v>
      </c>
      <c r="N134" s="291"/>
      <c r="O134" s="248">
        <f>VLOOKUP(H134,Auxiliar!$B$16:$E$24,4,0)</f>
        <v>0</v>
      </c>
      <c r="P134" s="248">
        <f ca="1">IF(TODAY()&lt;=L134,0,MIN((TODAY()-L134)/(M134-L134+1),100%))</f>
        <v>1</v>
      </c>
      <c r="Q134" s="247">
        <f t="shared" ca="1" si="29"/>
        <v>-1</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lt003_entitygrp_emssns_scp3</v>
      </c>
      <c r="B135" s="142" t="s">
        <v>26</v>
      </c>
      <c r="C135" s="138" t="s">
        <v>26</v>
      </c>
      <c r="D135" s="235" t="s">
        <v>40</v>
      </c>
      <c r="E135" s="238" t="s">
        <v>336</v>
      </c>
      <c r="F135" s="238"/>
      <c r="G135" s="238" t="s">
        <v>368</v>
      </c>
      <c r="H135" s="235" t="str">
        <f>VLOOKUP(A135,'2. Status Detalhe Campos'!$A$7:$G$574,7,0)</f>
        <v>3. Pendente de outros desenvolvimentos</v>
      </c>
      <c r="I135" s="285">
        <v>45588</v>
      </c>
      <c r="J135" s="301">
        <v>45596</v>
      </c>
      <c r="K135" s="285">
        <v>45596</v>
      </c>
      <c r="L135" s="290">
        <f t="array" ref="L135">MIN(IF(W135:CI135&gt;0,$W$16:$CI$16))</f>
        <v>45639</v>
      </c>
      <c r="M135" s="291">
        <f t="array" ref="M135">MAX(IF(W135:CI135&gt;0,$W$16:$CI$16))</f>
        <v>45639</v>
      </c>
      <c r="N135" s="291"/>
      <c r="O135" s="248">
        <f>VLOOKUP(H135,Auxiliar!$B$16:$E$24,4,0)</f>
        <v>0</v>
      </c>
      <c r="P135" s="248">
        <f t="shared" ca="1" si="30"/>
        <v>1</v>
      </c>
      <c r="Q135" s="247">
        <f t="shared" ca="1" si="29"/>
        <v>-1</v>
      </c>
      <c r="R135" s="261"/>
      <c r="S135" s="280"/>
      <c r="T135" s="270">
        <v>4.0999999999999996</v>
      </c>
      <c r="U135" s="270">
        <f>ROUND(T135/8,1)</f>
        <v>0.5</v>
      </c>
      <c r="V135" s="270">
        <f t="shared" si="31"/>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customHeight="1" collapsed="1">
      <c r="A136" s="274"/>
      <c r="B136" s="142" t="s">
        <v>26</v>
      </c>
      <c r="C136" s="138" t="s">
        <v>26</v>
      </c>
      <c r="D136" s="134"/>
      <c r="E136" s="374" t="s">
        <v>336</v>
      </c>
      <c r="F136" s="239" t="s">
        <v>2021</v>
      </c>
      <c r="G136" s="240">
        <f>COUNTA(G137:G138)</f>
        <v>2</v>
      </c>
      <c r="H136" s="295" t="s">
        <v>2005</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0"/>
        <v>1</v>
      </c>
      <c r="Q136" s="256">
        <f t="shared" ca="1" si="29"/>
        <v>0</v>
      </c>
      <c r="R136" s="373" t="s">
        <v>2047</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lt003_entityflg_act_physcl_rsk</v>
      </c>
      <c r="B137" s="142" t="s">
        <v>26</v>
      </c>
      <c r="C137" s="138" t="s">
        <v>26</v>
      </c>
      <c r="D137" s="235" t="s">
        <v>40</v>
      </c>
      <c r="E137" s="238" t="s">
        <v>336</v>
      </c>
      <c r="F137" s="238"/>
      <c r="G137" s="238" t="s">
        <v>358</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2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hidden="1" outlineLevel="1">
      <c r="A138" s="274" t="str">
        <f>E138&amp;G138</f>
        <v>lt003_entityflg_chrnc_physcl_rsk</v>
      </c>
      <c r="B138" s="142" t="s">
        <v>26</v>
      </c>
      <c r="C138" s="138" t="s">
        <v>26</v>
      </c>
      <c r="D138" s="235" t="s">
        <v>40</v>
      </c>
      <c r="E138" s="238" t="s">
        <v>336</v>
      </c>
      <c r="F138" s="238"/>
      <c r="G138" s="238" t="s">
        <v>359</v>
      </c>
      <c r="H138" s="235" t="str">
        <f>VLOOKUP(A138,'2. Status Detalhe Campos'!$A$7:$G$574,7,0)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29"/>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customHeight="1" collapsed="1">
      <c r="A139" s="274"/>
      <c r="B139" s="142" t="s">
        <v>26</v>
      </c>
      <c r="C139" s="138" t="s">
        <v>311</v>
      </c>
      <c r="D139" s="134"/>
      <c r="E139" s="378" t="s">
        <v>326</v>
      </c>
      <c r="F139" s="239" t="s">
        <v>1972</v>
      </c>
      <c r="G139" s="459">
        <f>COUNTA(G140)</f>
        <v>1</v>
      </c>
      <c r="H139" s="458" t="s">
        <v>573</v>
      </c>
      <c r="I139" s="276" t="s">
        <v>38</v>
      </c>
      <c r="J139" s="277">
        <f>MIN(J140:J143)</f>
        <v>45614</v>
      </c>
      <c r="K139" s="277">
        <f>MIN(K140:K158)</f>
        <v>45596</v>
      </c>
      <c r="L139" s="277">
        <f>MIN(L140:L158)</f>
        <v>45625</v>
      </c>
      <c r="M139" s="278">
        <f>MAX(M140:M158)</f>
        <v>45667</v>
      </c>
      <c r="N139" s="323" t="s">
        <v>1951</v>
      </c>
      <c r="O139" s="322">
        <f>O140</f>
        <v>0</v>
      </c>
      <c r="P139" s="322">
        <f ca="1">P140</f>
        <v>1</v>
      </c>
      <c r="Q139" s="256">
        <f t="shared" ref="Q139:Q166" ca="1" si="35">O139-P139</f>
        <v>-1</v>
      </c>
      <c r="R139" s="373" t="s">
        <v>2078</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hidden="1" outlineLevel="1">
      <c r="A140" s="274" t="str">
        <f t="shared" ref="A140:A143" si="36">E140&amp;G140</f>
        <v>modesg_out_empr_info_nfincod_nace_esg</v>
      </c>
      <c r="B140" s="142" t="s">
        <v>26</v>
      </c>
      <c r="C140" s="138" t="s">
        <v>311</v>
      </c>
      <c r="D140" s="235" t="s">
        <v>40</v>
      </c>
      <c r="E140" s="236" t="s">
        <v>326</v>
      </c>
      <c r="F140" s="236"/>
      <c r="G140" s="237" t="s">
        <v>282</v>
      </c>
      <c r="H140" s="235" t="str">
        <f>VLOOKUP(A140,'2. Status Detalhe Campos'!$A$7:$G$574,7,0)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7">IF(TODAY()&lt;=L140,0,MIN((TODAY()-L140)/(M140-L140+1),100%))</f>
        <v>1</v>
      </c>
      <c r="Q140" s="247">
        <f t="shared" ca="1" si="35"/>
        <v>-1</v>
      </c>
      <c r="R140" s="262" t="s">
        <v>38</v>
      </c>
      <c r="S140" s="280"/>
      <c r="T140" s="270">
        <v>16.100000000000001</v>
      </c>
      <c r="U140" s="270">
        <f t="shared" ref="U140:U143" si="38">ROUND(T140/8,1)</f>
        <v>2</v>
      </c>
      <c r="V140" s="270">
        <f t="shared" ref="V140:V143" si="39">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customHeight="1" collapsed="1">
      <c r="A141" s="274"/>
      <c r="B141" s="142" t="s">
        <v>26</v>
      </c>
      <c r="C141" s="138" t="s">
        <v>311</v>
      </c>
      <c r="D141" s="134"/>
      <c r="E141" s="378" t="s">
        <v>326</v>
      </c>
      <c r="F141" s="239" t="s">
        <v>1996</v>
      </c>
      <c r="G141" s="240">
        <f>COUNTA(G142:G143)</f>
        <v>2</v>
      </c>
      <c r="H141" s="295" t="s">
        <v>2005</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3" t="s">
        <v>2070</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hidden="1" outlineLevel="1">
      <c r="A142" s="274" t="str">
        <f t="shared" si="36"/>
        <v>modesg_out_empr_info_nfinorigem_alinhamentos</v>
      </c>
      <c r="B142" s="142" t="s">
        <v>26</v>
      </c>
      <c r="C142" s="138" t="s">
        <v>311</v>
      </c>
      <c r="D142" s="235" t="s">
        <v>40</v>
      </c>
      <c r="E142" s="236" t="s">
        <v>326</v>
      </c>
      <c r="F142" s="236"/>
      <c r="G142" s="235" t="s">
        <v>329</v>
      </c>
      <c r="H142" s="235" t="str">
        <f>VLOOKUP(A142,'2. Status Detalhe Campos'!$A$7:$G$574,7,0)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7"/>
        <v>1</v>
      </c>
      <c r="Q142" s="247">
        <f t="shared" ca="1" si="35"/>
        <v>0</v>
      </c>
      <c r="R142" s="262" t="s">
        <v>38</v>
      </c>
      <c r="S142" s="280"/>
      <c r="T142" s="270">
        <v>4.0999999999999996</v>
      </c>
      <c r="U142" s="270">
        <f t="shared" si="38"/>
        <v>0.5</v>
      </c>
      <c r="V142" s="270">
        <f t="shared" si="39"/>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6"/>
        <v>modesg_out_empr_info_nfinorigem_flg_nfrd</v>
      </c>
      <c r="B143" s="142" t="s">
        <v>26</v>
      </c>
      <c r="C143" s="138" t="s">
        <v>311</v>
      </c>
      <c r="D143" s="235" t="s">
        <v>40</v>
      </c>
      <c r="E143" s="236" t="s">
        <v>326</v>
      </c>
      <c r="F143" s="236"/>
      <c r="G143" s="235" t="s">
        <v>331</v>
      </c>
      <c r="H143" s="235" t="str">
        <f>VLOOKUP(A143,'2. Status Detalhe Campos'!$A$7:$G$574,7,0)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7"/>
        <v>1</v>
      </c>
      <c r="Q143" s="247">
        <f t="shared" ca="1" si="35"/>
        <v>0</v>
      </c>
      <c r="R143" s="262" t="s">
        <v>38</v>
      </c>
      <c r="S143" s="280"/>
      <c r="T143" s="270">
        <v>4.0999999999999996</v>
      </c>
      <c r="U143" s="270">
        <f t="shared" si="38"/>
        <v>0.5</v>
      </c>
      <c r="V143" s="270">
        <f t="shared" si="39"/>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customHeight="1" collapsed="1">
      <c r="A144" s="274"/>
      <c r="B144" s="142" t="s">
        <v>26</v>
      </c>
      <c r="C144" s="138" t="s">
        <v>311</v>
      </c>
      <c r="D144" s="134"/>
      <c r="E144" s="378" t="s">
        <v>326</v>
      </c>
      <c r="F144" s="239" t="s">
        <v>2043</v>
      </c>
      <c r="G144" s="240">
        <f>COUNTA(G145:G147)</f>
        <v>3</v>
      </c>
      <c r="H144" s="298" t="s">
        <v>2010</v>
      </c>
      <c r="I144" s="276" t="s">
        <v>38</v>
      </c>
      <c r="J144" s="277">
        <f>MIN(J145:J155)</f>
        <v>45614</v>
      </c>
      <c r="K144" s="277">
        <f>MIN(K145:K166)</f>
        <v>45596</v>
      </c>
      <c r="L144" s="277">
        <f>MIN(L145:L166)</f>
        <v>45625</v>
      </c>
      <c r="M144" s="278">
        <f>MAX(M145:M166)</f>
        <v>45667</v>
      </c>
      <c r="N144" s="323">
        <f t="array" ref="N144">MAX(IF(W144:CI144&gt;0,$W$16:$CI$16))</f>
        <v>45674</v>
      </c>
      <c r="O144" s="314">
        <f>SUMPRODUCT(O145:O149,U145:U149)/SUM(U145:U149)</f>
        <v>0.20833333333333334</v>
      </c>
      <c r="P144" s="314">
        <f ca="1">SUMPRODUCT(P145:P149,U145:U149)/SUM(U145:U149)</f>
        <v>1</v>
      </c>
      <c r="Q144" s="256">
        <f ca="1">O144-P144</f>
        <v>-0.79166666666666663</v>
      </c>
      <c r="R144" s="262" t="s">
        <v>2079</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hidden="1" outlineLevel="1">
      <c r="A145" s="274" t="str">
        <f t="shared" ref="A145:A147" si="40">E145&amp;G145</f>
        <v>modesg_out_empr_info_nfinflg_emprs_excl_paris</v>
      </c>
      <c r="B145" s="142" t="s">
        <v>26</v>
      </c>
      <c r="C145" s="138" t="s">
        <v>311</v>
      </c>
      <c r="D145" s="235" t="s">
        <v>40</v>
      </c>
      <c r="E145" s="236" t="s">
        <v>326</v>
      </c>
      <c r="F145" s="236"/>
      <c r="G145" s="235" t="s">
        <v>328</v>
      </c>
      <c r="H145" s="235" t="str">
        <f>VLOOKUP(A145,'2. Status Detalhe Campos'!$A$7:$G$574,7,0)</f>
        <v>2.1 Em Teste</v>
      </c>
      <c r="I145" s="276" t="s">
        <v>38</v>
      </c>
      <c r="J145" s="285">
        <v>45614</v>
      </c>
      <c r="K145" s="285">
        <v>45615</v>
      </c>
      <c r="L145" s="290">
        <f t="array" ref="L145">MIN(IF(W145:CI145&gt;0,$W$16:$CI$16))</f>
        <v>45646</v>
      </c>
      <c r="M145" s="291">
        <f t="array" ref="M145">MAX(IF(W145:CI145&gt;0,$W$16:$CI$16))</f>
        <v>45646</v>
      </c>
      <c r="N145" s="291"/>
      <c r="O145" s="248">
        <f>VLOOKUP(H145,Auxiliar!$B$16:$E$24,4,0)</f>
        <v>0.25</v>
      </c>
      <c r="P145" s="248">
        <f t="shared" ref="P145:P147" ca="1" si="41">IF(TODAY()&lt;=L145,0,MIN((TODAY()-L145)/(M145-L145+1),100%))</f>
        <v>1</v>
      </c>
      <c r="Q145" s="247">
        <f t="shared" ref="Q145:Q147" ca="1" si="42">O145-P145</f>
        <v>-0.75</v>
      </c>
      <c r="R145" s="262" t="s">
        <v>38</v>
      </c>
      <c r="S145" s="280"/>
      <c r="T145" s="270">
        <v>8.1</v>
      </c>
      <c r="U145" s="270">
        <f t="shared" ref="U145:U147" si="43">ROUND(T145/8,1)</f>
        <v>1</v>
      </c>
      <c r="V145" s="270">
        <f t="shared" ref="V145:V147" si="44">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 t="shared" si="40"/>
        <v>modesg_out_empr_info_nfinflg_nfrd</v>
      </c>
      <c r="B146" s="142" t="s">
        <v>26</v>
      </c>
      <c r="C146" s="138" t="s">
        <v>311</v>
      </c>
      <c r="D146" s="235" t="s">
        <v>40</v>
      </c>
      <c r="E146" s="236" t="s">
        <v>326</v>
      </c>
      <c r="F146" s="236"/>
      <c r="G146" s="235" t="s">
        <v>245</v>
      </c>
      <c r="H146" s="235" t="str">
        <f>VLOOKUP(A146,'2. Status Detalhe Campos'!$A$7:$G$574,7,0)</f>
        <v>2.1 Em Teste</v>
      </c>
      <c r="I146" s="276" t="s">
        <v>38</v>
      </c>
      <c r="J146" s="285">
        <v>45614</v>
      </c>
      <c r="K146" s="285">
        <v>45615</v>
      </c>
      <c r="L146" s="290">
        <f t="array" ref="L146">MIN(IF(W146:CI146&gt;0,$W$16:$CI$16))</f>
        <v>45667</v>
      </c>
      <c r="M146" s="291">
        <f t="array" ref="M146">MAX(IF(W146:CI146&gt;0,$W$16:$CI$16))</f>
        <v>45667</v>
      </c>
      <c r="N146" s="291"/>
      <c r="O146" s="248">
        <f>VLOOKUP(H146,Auxiliar!$B$16:$E$24,4,0)</f>
        <v>0.25</v>
      </c>
      <c r="P146" s="248">
        <f t="shared" ca="1" si="41"/>
        <v>1</v>
      </c>
      <c r="Q146" s="247">
        <f t="shared" ca="1" si="42"/>
        <v>-0.75</v>
      </c>
      <c r="R146" s="262" t="s">
        <v>38</v>
      </c>
      <c r="S146" s="280"/>
      <c r="T146" s="270">
        <v>8.1</v>
      </c>
      <c r="U146" s="270">
        <f t="shared" si="43"/>
        <v>1</v>
      </c>
      <c r="V146" s="270">
        <f t="shared" si="44"/>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hidden="1" outlineLevel="1">
      <c r="A147" s="274" t="str">
        <f t="shared" si="40"/>
        <v>modesg_out_empr_info_nfinorigem_flg_emprs_excl_paris</v>
      </c>
      <c r="B147" s="142" t="s">
        <v>26</v>
      </c>
      <c r="C147" s="138" t="s">
        <v>311</v>
      </c>
      <c r="D147" s="235" t="s">
        <v>40</v>
      </c>
      <c r="E147" s="236" t="s">
        <v>326</v>
      </c>
      <c r="F147" s="236"/>
      <c r="G147" s="235" t="s">
        <v>330</v>
      </c>
      <c r="H147" s="235" t="str">
        <f>VLOOKUP(A147,'2. Status Detalhe Campos'!$A$7:$G$574,7,0)</f>
        <v>2.1 Em Teste</v>
      </c>
      <c r="I147" s="276" t="s">
        <v>38</v>
      </c>
      <c r="J147" s="285">
        <v>45614</v>
      </c>
      <c r="K147" s="285">
        <v>45615</v>
      </c>
      <c r="L147" s="290">
        <f t="array" ref="L147">MIN(IF(W147:CI147&gt;0,$W$16:$CI$16))</f>
        <v>45667</v>
      </c>
      <c r="M147" s="291">
        <f t="array" ref="M147">MAX(IF(W147:CI147&gt;0,$W$16:$CI$16))</f>
        <v>45667</v>
      </c>
      <c r="N147" s="291"/>
      <c r="O147" s="248">
        <f>VLOOKUP(H147,Auxiliar!$B$16:$E$24,4,0)</f>
        <v>0.25</v>
      </c>
      <c r="P147" s="248">
        <f t="shared" ca="1" si="41"/>
        <v>1</v>
      </c>
      <c r="Q147" s="247">
        <f t="shared" ca="1" si="42"/>
        <v>-0.75</v>
      </c>
      <c r="R147" s="262" t="s">
        <v>38</v>
      </c>
      <c r="S147" s="280"/>
      <c r="T147" s="270">
        <v>4.0999999999999996</v>
      </c>
      <c r="U147" s="270">
        <f t="shared" si="43"/>
        <v>0.5</v>
      </c>
      <c r="V147" s="270">
        <f t="shared" si="44"/>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4" t="s">
        <v>336</v>
      </c>
      <c r="F148" s="239" t="s">
        <v>1994</v>
      </c>
      <c r="G148" s="459">
        <f>COUNTA(G149:G151)</f>
        <v>3</v>
      </c>
      <c r="H148" s="275" t="s">
        <v>2009</v>
      </c>
      <c r="I148" s="278" t="s">
        <v>38</v>
      </c>
      <c r="J148" s="277">
        <f>MIN(J149:J151)</f>
        <v>45621</v>
      </c>
      <c r="K148" s="278">
        <f>MIN(K149:K151)</f>
        <v>45596</v>
      </c>
      <c r="L148" s="277">
        <f>MIN(L149:L151)</f>
        <v>45625</v>
      </c>
      <c r="M148" s="278">
        <f>MAX(M149:M151)</f>
        <v>45638</v>
      </c>
      <c r="N148" s="323" t="s">
        <v>1951</v>
      </c>
      <c r="O148" s="314">
        <f>SUMPRODUCT(O149:O152,U149:U152)/SUM(U149:U152)</f>
        <v>0</v>
      </c>
      <c r="P148" s="314">
        <f ca="1">SUMPRODUCT(P149:P151,U149:U151)/SUM(U149:U151)</f>
        <v>1</v>
      </c>
      <c r="Q148" s="247">
        <f t="shared" ca="1" si="35"/>
        <v>-1</v>
      </c>
      <c r="R148" s="373" t="s">
        <v>2080</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lt003_entitycntrprty_emssns_scp1</v>
      </c>
      <c r="B149" s="142" t="s">
        <v>26</v>
      </c>
      <c r="C149" s="138" t="s">
        <v>26</v>
      </c>
      <c r="D149" s="235" t="s">
        <v>40</v>
      </c>
      <c r="E149" s="238" t="s">
        <v>336</v>
      </c>
      <c r="F149" s="238"/>
      <c r="G149" s="238" t="s">
        <v>354</v>
      </c>
      <c r="H149" s="235" t="str">
        <f>VLOOKUP(A149,'2. Status Detalhe Campos'!$A$7:$G$574,7,0)</f>
        <v>3. Pendente de outros desenvolvimentos</v>
      </c>
      <c r="I149" s="276" t="s">
        <v>38</v>
      </c>
      <c r="J149" s="285">
        <v>45621</v>
      </c>
      <c r="K149" s="285">
        <v>45596</v>
      </c>
      <c r="L149" s="290">
        <f t="array" ref="L149">MIN(IF(W149:CI149&gt;0,$W$16:$CI$16))</f>
        <v>45625</v>
      </c>
      <c r="M149" s="291">
        <f t="array" ref="M149">MAX(IF(W149:CI149&gt;0,$W$16:$CI$16))</f>
        <v>45625</v>
      </c>
      <c r="N149" s="291"/>
      <c r="O149" s="248">
        <f>VLOOKUP(H149,Auxiliar!$B$16:$E$24,4,0)</f>
        <v>0</v>
      </c>
      <c r="P149" s="248">
        <f ca="1">IF(TODAY()&lt;=L149,0,MIN((TODAY()-L149)/(M149-L149+1),100%))</f>
        <v>1</v>
      </c>
      <c r="Q149" s="247">
        <f t="shared" ca="1" si="35"/>
        <v>-1</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E150&amp;G150</f>
        <v>lt003_entitycntrprty_emssns_scp2</v>
      </c>
      <c r="B150" s="142" t="s">
        <v>26</v>
      </c>
      <c r="C150" s="138" t="s">
        <v>26</v>
      </c>
      <c r="D150" s="235" t="s">
        <v>40</v>
      </c>
      <c r="E150" s="238" t="s">
        <v>336</v>
      </c>
      <c r="F150" s="238"/>
      <c r="G150" s="238" t="s">
        <v>355</v>
      </c>
      <c r="H150" s="235" t="str">
        <f>VLOOKUP(A150,'2. Status Detalhe Campos'!$A$7:$G$574,7,0)</f>
        <v>3. Pendente de outros desenvolvimentos</v>
      </c>
      <c r="I150" s="276" t="s">
        <v>38</v>
      </c>
      <c r="J150" s="285">
        <v>45621</v>
      </c>
      <c r="K150" s="285">
        <v>45596</v>
      </c>
      <c r="L150" s="290">
        <f t="array" ref="L150">MIN(IF(W150:CI150&gt;0,$W$16:$CI$16))</f>
        <v>45625</v>
      </c>
      <c r="M150" s="291">
        <f t="array" ref="M150">MAX(IF(W150:CI150&gt;0,$W$16:$CI$16))</f>
        <v>45625</v>
      </c>
      <c r="N150" s="291"/>
      <c r="O150" s="248">
        <f>VLOOKUP(H150,Auxiliar!$B$16:$E$24,4,0)</f>
        <v>0</v>
      </c>
      <c r="P150" s="248">
        <f ca="1">IF(TODAY()&lt;=L150,0,MIN((TODAY()-L150)/(M150-L150+1),100%))</f>
        <v>1</v>
      </c>
      <c r="Q150" s="247">
        <f t="shared" ca="1" si="35"/>
        <v>-1</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E151&amp;G151</f>
        <v>lt003_entitycntrprty_emssns_scp3</v>
      </c>
      <c r="B151" s="142" t="s">
        <v>26</v>
      </c>
      <c r="C151" s="138" t="s">
        <v>26</v>
      </c>
      <c r="D151" s="235" t="s">
        <v>40</v>
      </c>
      <c r="E151" s="238" t="s">
        <v>336</v>
      </c>
      <c r="F151" s="238"/>
      <c r="G151" s="238" t="s">
        <v>356</v>
      </c>
      <c r="H151" s="235" t="str">
        <f>VLOOKUP(A151,'2. Status Detalhe Campos'!$A$7:$G$574,7,0)</f>
        <v>3. Pendente de outros desenvolvimentos</v>
      </c>
      <c r="I151" s="276" t="s">
        <v>38</v>
      </c>
      <c r="J151" s="285">
        <v>45621</v>
      </c>
      <c r="K151" s="285">
        <v>45596</v>
      </c>
      <c r="L151" s="290">
        <f t="array" ref="L151">MIN(IF(W151:CI151&gt;0,$W$16:$CI$16))</f>
        <v>45638</v>
      </c>
      <c r="M151" s="291">
        <f t="array" ref="M151">MAX(IF(W151:CI151&gt;0,$W$16:$CI$16))</f>
        <v>45638</v>
      </c>
      <c r="N151" s="291"/>
      <c r="O151" s="248">
        <f>VLOOKUP(H151,Auxiliar!$B$16:$E$24,4,0)</f>
        <v>0</v>
      </c>
      <c r="P151" s="248">
        <f ca="1">IF(TODAY()&lt;=L151,0,MIN((TODAY()-L151)/(M151-L151+1),100%))</f>
        <v>1</v>
      </c>
      <c r="Q151" s="247">
        <f t="shared" ca="1" si="35"/>
        <v>-1</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customHeight="1" collapsed="1">
      <c r="A152" s="274"/>
      <c r="B152" s="142" t="s">
        <v>26</v>
      </c>
      <c r="C152" s="138" t="s">
        <v>311</v>
      </c>
      <c r="D152" s="134"/>
      <c r="E152" s="378" t="s">
        <v>326</v>
      </c>
      <c r="F152" s="239" t="s">
        <v>1993</v>
      </c>
      <c r="G152" s="240">
        <f>COUNTA(G153:G158)</f>
        <v>6</v>
      </c>
      <c r="H152" s="275" t="s">
        <v>2009</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5"/>
        <v>-1</v>
      </c>
      <c r="R152" s="373" t="s">
        <v>2076</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ref="A153:A158" si="45">E153&amp;G153</f>
        <v>modesg_out_empr_info_nfinorigem_scp1_emss</v>
      </c>
      <c r="B153" s="142" t="s">
        <v>26</v>
      </c>
      <c r="C153" s="138" t="s">
        <v>311</v>
      </c>
      <c r="D153" s="235" t="s">
        <v>40</v>
      </c>
      <c r="E153" s="236" t="s">
        <v>326</v>
      </c>
      <c r="F153" s="236"/>
      <c r="G153" s="235" t="s">
        <v>320</v>
      </c>
      <c r="H153" s="235" t="str">
        <f>VLOOKUP(A153,'2. Status Detalhe Campos'!$A$7:$G$574,7,0)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6">IF(TODAY()&lt;=L153,0,MIN((TODAY()-L153)/(M153-L153+1),100%))</f>
        <v>1</v>
      </c>
      <c r="Q153" s="247">
        <f t="shared" ca="1" si="35"/>
        <v>-1</v>
      </c>
      <c r="R153" s="262" t="s">
        <v>38</v>
      </c>
      <c r="S153" s="280"/>
      <c r="T153" s="270">
        <v>4.0999999999999996</v>
      </c>
      <c r="U153" s="270">
        <f t="shared" ref="U153:U158" si="47">ROUND(T153/8,1)</f>
        <v>0.5</v>
      </c>
      <c r="V153" s="270">
        <f t="shared" ref="V153:V158" si="48">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45"/>
        <v>modesg_out_empr_info_nfinorigem_scp2_emss</v>
      </c>
      <c r="B154" s="142" t="s">
        <v>26</v>
      </c>
      <c r="C154" s="138" t="s">
        <v>311</v>
      </c>
      <c r="D154" s="235" t="s">
        <v>40</v>
      </c>
      <c r="E154" s="236" t="s">
        <v>326</v>
      </c>
      <c r="F154" s="236"/>
      <c r="G154" s="235" t="s">
        <v>321</v>
      </c>
      <c r="H154" s="235" t="str">
        <f>VLOOKUP(A154,'2. Status Detalhe Campos'!$A$7:$G$574,7,0)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6"/>
        <v>1</v>
      </c>
      <c r="Q154" s="247">
        <f t="shared" ca="1" si="35"/>
        <v>-1</v>
      </c>
      <c r="R154" s="262" t="s">
        <v>38</v>
      </c>
      <c r="S154" s="280"/>
      <c r="T154" s="270">
        <v>4.0999999999999996</v>
      </c>
      <c r="U154" s="270">
        <f t="shared" si="47"/>
        <v>0.5</v>
      </c>
      <c r="V154" s="270">
        <f t="shared" si="48"/>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45"/>
        <v>modesg_out_empr_info_nfinorigem_scp3_emss</v>
      </c>
      <c r="B155" s="142" t="s">
        <v>26</v>
      </c>
      <c r="C155" s="138" t="s">
        <v>311</v>
      </c>
      <c r="D155" s="235" t="s">
        <v>40</v>
      </c>
      <c r="E155" s="236" t="s">
        <v>326</v>
      </c>
      <c r="F155" s="236"/>
      <c r="G155" s="235" t="s">
        <v>322</v>
      </c>
      <c r="H155" s="235" t="str">
        <f>VLOOKUP(A155,'2. Status Detalhe Campos'!$A$7:$G$574,7,0)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6"/>
        <v>1</v>
      </c>
      <c r="Q155" s="247">
        <f t="shared" ca="1" si="35"/>
        <v>-1</v>
      </c>
      <c r="R155" s="262" t="s">
        <v>38</v>
      </c>
      <c r="S155" s="280"/>
      <c r="T155" s="270">
        <v>4.0999999999999996</v>
      </c>
      <c r="U155" s="270">
        <f t="shared" si="47"/>
        <v>0.5</v>
      </c>
      <c r="V155" s="270">
        <f t="shared" si="48"/>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45"/>
        <v>modesg_out_empr_info_nfinscp1_emss</v>
      </c>
      <c r="B156" s="142" t="s">
        <v>26</v>
      </c>
      <c r="C156" s="138" t="s">
        <v>311</v>
      </c>
      <c r="D156" s="235" t="s">
        <v>40</v>
      </c>
      <c r="E156" s="236" t="s">
        <v>326</v>
      </c>
      <c r="F156" s="236"/>
      <c r="G156" s="235" t="s">
        <v>286</v>
      </c>
      <c r="H156" s="235" t="str">
        <f>VLOOKUP(A156,'2. Status Detalhe Campos'!$A$7:$G$574,7,0)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6"/>
        <v>1</v>
      </c>
      <c r="Q156" s="247">
        <f t="shared" ca="1" si="35"/>
        <v>-1</v>
      </c>
      <c r="R156" s="262" t="s">
        <v>38</v>
      </c>
      <c r="S156" s="280"/>
      <c r="T156" s="270">
        <v>8.1</v>
      </c>
      <c r="U156" s="270">
        <f t="shared" si="47"/>
        <v>1</v>
      </c>
      <c r="V156" s="270">
        <f t="shared" si="48"/>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 t="shared" si="45"/>
        <v>modesg_out_empr_info_nfinscp2_emss</v>
      </c>
      <c r="B157" s="142" t="s">
        <v>26</v>
      </c>
      <c r="C157" s="138" t="s">
        <v>311</v>
      </c>
      <c r="D157" s="235" t="s">
        <v>40</v>
      </c>
      <c r="E157" s="236" t="s">
        <v>326</v>
      </c>
      <c r="F157" s="236"/>
      <c r="G157" s="235" t="s">
        <v>287</v>
      </c>
      <c r="H157" s="235" t="str">
        <f>VLOOKUP(A157,'2. Status Detalhe Campos'!$A$7:$G$574,7,0)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6"/>
        <v>1</v>
      </c>
      <c r="Q157" s="247">
        <f t="shared" ca="1" si="35"/>
        <v>-1</v>
      </c>
      <c r="R157" s="262" t="s">
        <v>38</v>
      </c>
      <c r="S157" s="280"/>
      <c r="T157" s="270">
        <v>8.1</v>
      </c>
      <c r="U157" s="270">
        <f t="shared" si="47"/>
        <v>1</v>
      </c>
      <c r="V157" s="270">
        <f t="shared" si="48"/>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 t="shared" si="45"/>
        <v>modesg_out_empr_info_nfinscp3_emss</v>
      </c>
      <c r="B158" s="142" t="s">
        <v>26</v>
      </c>
      <c r="C158" s="138" t="s">
        <v>311</v>
      </c>
      <c r="D158" s="235" t="s">
        <v>40</v>
      </c>
      <c r="E158" s="236" t="s">
        <v>326</v>
      </c>
      <c r="F158" s="236"/>
      <c r="G158" s="235" t="s">
        <v>288</v>
      </c>
      <c r="H158" s="235" t="str">
        <f>VLOOKUP(A158,'2. Status Detalhe Campos'!$A$7:$G$574,7,0)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6"/>
        <v>1</v>
      </c>
      <c r="Q158" s="247">
        <f t="shared" ca="1" si="35"/>
        <v>-1</v>
      </c>
      <c r="R158" s="262" t="s">
        <v>38</v>
      </c>
      <c r="S158" s="280"/>
      <c r="T158" s="270">
        <v>8.1</v>
      </c>
      <c r="U158" s="270">
        <f t="shared" si="47"/>
        <v>1</v>
      </c>
      <c r="V158" s="270">
        <f t="shared" si="48"/>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380</v>
      </c>
      <c r="F159" s="239" t="s">
        <v>2057</v>
      </c>
      <c r="G159" s="240">
        <f>COUNTA(G160:G160)</f>
        <v>1</v>
      </c>
      <c r="H159" s="294" t="s">
        <v>2052</v>
      </c>
      <c r="I159" s="278">
        <f>MAX(I160)</f>
        <v>45595</v>
      </c>
      <c r="J159" s="277">
        <f>MIN(J160)</f>
        <v>45624</v>
      </c>
      <c r="K159" s="329">
        <f>MIN(K160)</f>
        <v>45624</v>
      </c>
      <c r="L159" s="277">
        <f>MIN(L160:L160)</f>
        <v>45639</v>
      </c>
      <c r="M159" s="278">
        <f>MAX(M160:M160)</f>
        <v>45639</v>
      </c>
      <c r="N159" s="323">
        <f t="array" ref="N159">MAX(IF(W159:CI159&gt;0,$W$16:$CI$16))</f>
        <v>45667</v>
      </c>
      <c r="O159" s="314">
        <f>O160</f>
        <v>0.25</v>
      </c>
      <c r="P159" s="314">
        <f ca="1">SUMPRODUCT(P160:P160,U160:U160)/SUM(U160:U160)</f>
        <v>1</v>
      </c>
      <c r="Q159" s="256">
        <f t="shared" ca="1" si="35"/>
        <v>-0.75</v>
      </c>
      <c r="R159" s="262" t="s">
        <v>2053</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hidden="1" outlineLevel="1">
      <c r="A160" s="274" t="str">
        <f>E160&amp;G160</f>
        <v>lt002_instrumentrsk_mtgtd_ccp</v>
      </c>
      <c r="B160" s="142" t="s">
        <v>26</v>
      </c>
      <c r="C160" s="138" t="s">
        <v>26</v>
      </c>
      <c r="D160" s="235" t="s">
        <v>40</v>
      </c>
      <c r="E160" s="238" t="s">
        <v>380</v>
      </c>
      <c r="F160" s="238"/>
      <c r="G160" s="238" t="s">
        <v>382</v>
      </c>
      <c r="H160" s="235" t="str">
        <f>VLOOKUP(A160,'2. Status Detalhe Campos'!$A$7:$G$574,7,0)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5"/>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customHeight="1" collapsed="1">
      <c r="A161" s="274"/>
      <c r="B161" s="142" t="s">
        <v>26</v>
      </c>
      <c r="C161" s="138" t="s">
        <v>26</v>
      </c>
      <c r="D161" s="134"/>
      <c r="E161" s="241" t="s">
        <v>1948</v>
      </c>
      <c r="F161" s="239" t="s">
        <v>1972</v>
      </c>
      <c r="G161" s="240">
        <f>COUNTA(G162:G164)</f>
        <v>3</v>
      </c>
      <c r="H161" s="295" t="s">
        <v>2005</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5"/>
        <v>0</v>
      </c>
      <c r="R161" s="373" t="s">
        <v>2051</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lt007_instr_activityenvrnmntl_objctv</v>
      </c>
      <c r="B162" s="142" t="s">
        <v>26</v>
      </c>
      <c r="C162" s="138" t="s">
        <v>26</v>
      </c>
      <c r="D162" s="235" t="s">
        <v>40</v>
      </c>
      <c r="E162" s="238" t="s">
        <v>1948</v>
      </c>
      <c r="F162" s="238"/>
      <c r="G162" s="238" t="s">
        <v>383</v>
      </c>
      <c r="H162" s="235" t="str">
        <f>VLOOKUP(A162,'2. Status Detalhe Campos'!$A$7:$G$574,7,0)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5"/>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E163&amp;G163</f>
        <v>lt007_instr_activitytyp_actvty</v>
      </c>
      <c r="B163" s="142" t="s">
        <v>26</v>
      </c>
      <c r="C163" s="138" t="s">
        <v>26</v>
      </c>
      <c r="D163" s="235" t="s">
        <v>40</v>
      </c>
      <c r="E163" s="238" t="s">
        <v>1948</v>
      </c>
      <c r="F163" s="238"/>
      <c r="G163" s="238" t="s">
        <v>384</v>
      </c>
      <c r="H163" s="235" t="str">
        <f>VLOOKUP(A163,'2. Status Detalhe Campos'!$A$7:$G$574,7,0)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5"/>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E164&amp;G164</f>
        <v>lt007_instr_activitysstnbl_indctr</v>
      </c>
      <c r="B164" s="142" t="s">
        <v>26</v>
      </c>
      <c r="C164" s="138" t="s">
        <v>26</v>
      </c>
      <c r="D164" s="235" t="s">
        <v>40</v>
      </c>
      <c r="E164" s="238" t="s">
        <v>1948</v>
      </c>
      <c r="F164" s="238"/>
      <c r="G164" s="238" t="s">
        <v>419</v>
      </c>
      <c r="H164" s="235" t="str">
        <f>VLOOKUP(A164,'2. Status Detalhe Campos'!$A$7:$G$574,7,0)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5"/>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2056</v>
      </c>
      <c r="G165" s="240">
        <f>COUNTA(G166)</f>
        <v>1</v>
      </c>
      <c r="H165" s="294" t="s">
        <v>2052</v>
      </c>
      <c r="I165" s="278">
        <f>MAX(I166:I172)</f>
        <v>45646</v>
      </c>
      <c r="J165" s="277">
        <f>MIN(J166:J172)</f>
        <v>45624</v>
      </c>
      <c r="K165" s="329">
        <f>MIN(K166:K172)</f>
        <v>45624</v>
      </c>
      <c r="L165" s="278">
        <f>MIN(L166:L172)</f>
        <v>45630</v>
      </c>
      <c r="M165" s="278">
        <f>MAX(M166:M172)</f>
        <v>45667</v>
      </c>
      <c r="N165" s="323">
        <f t="array" ref="N165">MAX(IF(W165:CI165&gt;0,$W$16:$CI$16))</f>
        <v>45667</v>
      </c>
      <c r="O165" s="314">
        <f>O166</f>
        <v>0.25</v>
      </c>
      <c r="P165" s="314">
        <f ca="1">P166</f>
        <v>1</v>
      </c>
      <c r="Q165" s="247">
        <f ca="1">O165-P165</f>
        <v>-0.75</v>
      </c>
      <c r="R165" s="262" t="s">
        <v>2053</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2055</v>
      </c>
      <c r="CC165" s="281"/>
      <c r="CD165" s="281"/>
      <c r="CE165" s="281"/>
      <c r="CF165" s="281"/>
      <c r="CG165" s="281"/>
      <c r="CH165" s="281"/>
      <c r="CI165" s="281"/>
    </row>
    <row r="166" spans="1:87" ht="16.2" hidden="1" outlineLevel="1">
      <c r="A166" s="274" t="str">
        <f>E166&amp;G166</f>
        <v>lt007_instr_activitysstnbl_ctgry</v>
      </c>
      <c r="B166" s="142" t="s">
        <v>26</v>
      </c>
      <c r="C166" s="138" t="s">
        <v>26</v>
      </c>
      <c r="D166" s="235" t="s">
        <v>40</v>
      </c>
      <c r="E166" s="238" t="s">
        <v>1948</v>
      </c>
      <c r="F166" s="238"/>
      <c r="G166" s="238" t="s">
        <v>420</v>
      </c>
      <c r="H166" s="235" t="str">
        <f>VLOOKUP(A166,'2. Status Detalhe Campos'!$A$7:$G$574,7,0)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5"/>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customHeight="1" collapsed="1">
      <c r="A167" s="274"/>
      <c r="B167" s="142" t="s">
        <v>26</v>
      </c>
      <c r="C167" s="138" t="s">
        <v>26</v>
      </c>
      <c r="D167" s="134"/>
      <c r="E167" s="241" t="s">
        <v>369</v>
      </c>
      <c r="F167" s="239" t="s">
        <v>1994</v>
      </c>
      <c r="G167" s="240">
        <f>COUNTA(G168:G169)</f>
        <v>2</v>
      </c>
      <c r="H167" s="295" t="s">
        <v>2005</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SUMPRODUCT(O168:O169,U168:U169)/SUM(U168:U169)</f>
        <v>1</v>
      </c>
      <c r="P167" s="322">
        <f ca="1">SUMPRODUCT(P168:P169,U168:U169)/SUM(U168:U169)</f>
        <v>1</v>
      </c>
      <c r="Q167" s="247">
        <f t="shared" ref="Q167:Q188" ca="1" si="49">O167-P167</f>
        <v>0</v>
      </c>
      <c r="R167" s="373" t="s">
        <v>2070</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hidden="1" outlineLevel="1">
      <c r="A168" s="274" t="str">
        <f t="shared" ref="A168:A173" si="50">E168&amp;G168</f>
        <v>lt004_protectionprtctn_vl</v>
      </c>
      <c r="B168" s="142" t="s">
        <v>26</v>
      </c>
      <c r="C168" s="138" t="s">
        <v>26</v>
      </c>
      <c r="D168" s="235" t="s">
        <v>40</v>
      </c>
      <c r="E168" s="238" t="s">
        <v>369</v>
      </c>
      <c r="F168" s="238"/>
      <c r="G168" s="238" t="s">
        <v>439</v>
      </c>
      <c r="H168" s="235" t="str">
        <f>VLOOKUP(A168,'2. Status Detalhe Campos'!$A$7:$G$574,7,0)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1">IF(TODAY()&lt;=L168,0,MIN((TODAY()-L168)/(M168-L168+1),100%))</f>
        <v>1</v>
      </c>
      <c r="Q168" s="247">
        <f t="shared" ca="1" si="49"/>
        <v>0</v>
      </c>
      <c r="R168" s="262" t="s">
        <v>38</v>
      </c>
      <c r="S168" s="280"/>
      <c r="T168" s="299">
        <v>4.0999999999999996</v>
      </c>
      <c r="U168" s="270">
        <f t="shared" ref="U168:U173" si="52">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E169&amp;G169</f>
        <v>lt004_protectionflg_col</v>
      </c>
      <c r="B169" s="142" t="s">
        <v>26</v>
      </c>
      <c r="C169" s="138" t="s">
        <v>26</v>
      </c>
      <c r="D169" s="235" t="s">
        <v>40</v>
      </c>
      <c r="E169" s="238" t="s">
        <v>369</v>
      </c>
      <c r="F169" s="238"/>
      <c r="G169" s="238" t="s">
        <v>480</v>
      </c>
      <c r="H169" s="235" t="str">
        <f>VLOOKUP(A169,'2. Status Detalhe Campos'!$A$7:$G$574,7,0)</f>
        <v>1. Concluído</v>
      </c>
      <c r="I169" s="276">
        <v>45593</v>
      </c>
      <c r="J169" s="324">
        <v>45624</v>
      </c>
      <c r="K169" s="330">
        <v>45624</v>
      </c>
      <c r="L169" s="290">
        <f t="array" ref="L169">MIN(IF(W169:CI169&gt;0,$W$16:$CI$16))</f>
        <v>45646</v>
      </c>
      <c r="M169" s="291">
        <f t="array" ref="M169">MAX(IF(W169:CI169&gt;0,$W$16:$CI$16))</f>
        <v>45646</v>
      </c>
      <c r="N169" s="291"/>
      <c r="O169" s="248">
        <f>VLOOKUP(H169,Auxiliar!$B$16:$E$24,4,0)</f>
        <v>1</v>
      </c>
      <c r="P169" s="248">
        <f ca="1">IF(TODAY()&lt;=L169,0,MIN((TODAY()-L169)/(M169-L169+1),100%))</f>
        <v>1</v>
      </c>
      <c r="Q169" s="247">
        <f ca="1">O169-P169</f>
        <v>0</v>
      </c>
      <c r="R169" s="262" t="s">
        <v>38</v>
      </c>
      <c r="S169" s="280"/>
      <c r="T169" s="270">
        <v>4.0999999999999996</v>
      </c>
      <c r="U169" s="270">
        <f>ROUND(T169/8,1)</f>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v>0.5</v>
      </c>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customHeight="1" collapsed="1">
      <c r="A170" s="274"/>
      <c r="B170" s="142" t="s">
        <v>26</v>
      </c>
      <c r="C170" s="138" t="s">
        <v>26</v>
      </c>
      <c r="D170" s="134"/>
      <c r="E170" s="241" t="s">
        <v>369</v>
      </c>
      <c r="F170" s="239" t="s">
        <v>1994</v>
      </c>
      <c r="G170" s="240">
        <f>COUNTA(G171:G173)</f>
        <v>3</v>
      </c>
      <c r="H170" s="295" t="s">
        <v>2005</v>
      </c>
      <c r="I170" s="278">
        <f>MAX(I171:M173)</f>
        <v>45646</v>
      </c>
      <c r="J170" s="277">
        <f>MIN(J171:J176)</f>
        <v>45624</v>
      </c>
      <c r="K170" s="329">
        <f>MIN(K171:K176)</f>
        <v>45624</v>
      </c>
      <c r="L170" s="277">
        <f>MIN(L171:L176)</f>
        <v>45630</v>
      </c>
      <c r="M170" s="278">
        <f>MAX(M171:M176)</f>
        <v>45667</v>
      </c>
      <c r="N170" s="323">
        <f t="array" ref="N170">MAX(IF(W170:CI170&gt;0,$W$16:$CI$16))</f>
        <v>45646</v>
      </c>
      <c r="O170" s="322">
        <f>SUMPRODUCT(O171:O174,U171:U174)/SUM(U171:U174)</f>
        <v>1</v>
      </c>
      <c r="P170" s="322">
        <f ca="1">SUMPRODUCT(P171:P174,U171:U174)/SUM(U171:U174)</f>
        <v>1</v>
      </c>
      <c r="Q170" s="247">
        <f ca="1">O170-P170</f>
        <v>0</v>
      </c>
      <c r="R170" s="373" t="s">
        <v>2051</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c r="BM170" s="281" t="s">
        <v>444</v>
      </c>
      <c r="BN170" s="326"/>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50"/>
        <v>lt004_protectionflg_fin</v>
      </c>
      <c r="B171" s="142" t="s">
        <v>26</v>
      </c>
      <c r="C171" s="138" t="s">
        <v>26</v>
      </c>
      <c r="D171" s="235" t="s">
        <v>40</v>
      </c>
      <c r="E171" s="238" t="s">
        <v>369</v>
      </c>
      <c r="F171" s="238"/>
      <c r="G171" s="238" t="s">
        <v>481</v>
      </c>
      <c r="H171" s="235" t="str">
        <f>VLOOKUP(A171,'2. Status Detalhe Campos'!$A$7:$G$574,7,0)</f>
        <v>1. Concluído</v>
      </c>
      <c r="I171" s="276">
        <v>45593</v>
      </c>
      <c r="J171" s="324">
        <v>45624</v>
      </c>
      <c r="K171" s="330">
        <v>45624</v>
      </c>
      <c r="L171" s="290">
        <f t="array" ref="L171">MIN(IF(W171:CI171&gt;0,$W$16:$CI$16))</f>
        <v>45645</v>
      </c>
      <c r="M171" s="291">
        <f t="array" ref="M171">MAX(IF(W171:CI171&gt;0,$W$16:$CI$16))</f>
        <v>45645</v>
      </c>
      <c r="N171" s="291"/>
      <c r="O171" s="248">
        <f>VLOOKUP(H171,Auxiliar!$B$16:$E$24,4,0)</f>
        <v>1</v>
      </c>
      <c r="P171" s="248">
        <f t="shared" ca="1" si="51"/>
        <v>1</v>
      </c>
      <c r="Q171" s="247">
        <f t="shared" ca="1" si="49"/>
        <v>0</v>
      </c>
      <c r="R171" s="262" t="s">
        <v>38</v>
      </c>
      <c r="S171" s="280"/>
      <c r="T171" s="270">
        <v>4.0999999999999996</v>
      </c>
      <c r="U171" s="270">
        <f t="shared" si="52"/>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v>0.5</v>
      </c>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50"/>
        <v>lt004_protectionflg_exec</v>
      </c>
      <c r="B172" s="142" t="s">
        <v>26</v>
      </c>
      <c r="C172" s="138" t="s">
        <v>26</v>
      </c>
      <c r="D172" s="235" t="s">
        <v>40</v>
      </c>
      <c r="E172" s="238" t="s">
        <v>369</v>
      </c>
      <c r="F172" s="238"/>
      <c r="G172" s="238" t="s">
        <v>1355</v>
      </c>
      <c r="H172" s="235" t="str">
        <f>VLOOKUP(A172,'2. Status Detalhe Campos'!$A$7:$G$574,7,0)</f>
        <v>1. Concluído</v>
      </c>
      <c r="I172" s="276">
        <v>45593</v>
      </c>
      <c r="J172" s="324">
        <v>45624</v>
      </c>
      <c r="K172" s="330">
        <v>45624</v>
      </c>
      <c r="L172" s="290">
        <f t="array" ref="L172">MIN(IF(W172:CI172&gt;0,$W$16:$CI$16))</f>
        <v>45645</v>
      </c>
      <c r="M172" s="291">
        <f t="array" ref="M172">MAX(IF(W172:CI172&gt;0,$W$16:$CI$16))</f>
        <v>45645</v>
      </c>
      <c r="N172" s="291"/>
      <c r="O172" s="248">
        <f>VLOOKUP(H172,Auxiliar!$B$16:$E$24,4,0)</f>
        <v>1</v>
      </c>
      <c r="P172" s="248">
        <f t="shared" ca="1" si="51"/>
        <v>1</v>
      </c>
      <c r="Q172" s="247">
        <f t="shared" ca="1" si="49"/>
        <v>0</v>
      </c>
      <c r="R172" s="262" t="s">
        <v>38</v>
      </c>
      <c r="S172" s="280"/>
      <c r="T172" s="270">
        <v>4.0999999999999996</v>
      </c>
      <c r="U172" s="270">
        <f t="shared" si="52"/>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50"/>
        <v>lt004_protectionflg_pro</v>
      </c>
      <c r="B173" s="142" t="s">
        <v>26</v>
      </c>
      <c r="C173" s="138" t="s">
        <v>26</v>
      </c>
      <c r="D173" s="235" t="s">
        <v>40</v>
      </c>
      <c r="E173" s="238" t="s">
        <v>369</v>
      </c>
      <c r="F173" s="238"/>
      <c r="G173" s="238" t="s">
        <v>482</v>
      </c>
      <c r="H173" s="235" t="str">
        <f>VLOOKUP(A173,'2. Status Detalhe Campos'!$A$7:$G$574,7,0)</f>
        <v>1. Concluído</v>
      </c>
      <c r="I173" s="276">
        <v>45593</v>
      </c>
      <c r="J173" s="324">
        <v>45624</v>
      </c>
      <c r="K173" s="330">
        <v>45624</v>
      </c>
      <c r="L173" s="290">
        <f t="array" ref="L173">MIN(IF(W173:CI173&gt;0,$W$16:$CI$16))</f>
        <v>45646</v>
      </c>
      <c r="M173" s="291">
        <f t="array" ref="M173">MAX(IF(W173:CI173&gt;0,$W$16:$CI$16))</f>
        <v>45646</v>
      </c>
      <c r="N173" s="291"/>
      <c r="O173" s="248">
        <f>VLOOKUP(H173,Auxiliar!$B$16:$E$24,4,0)</f>
        <v>1</v>
      </c>
      <c r="P173" s="248">
        <f t="shared" ca="1" si="51"/>
        <v>1</v>
      </c>
      <c r="Q173" s="247">
        <f t="shared" ca="1" si="49"/>
        <v>0</v>
      </c>
      <c r="R173" s="262" t="s">
        <v>38</v>
      </c>
      <c r="S173" s="280"/>
      <c r="T173" s="270">
        <v>4.0999999999999996</v>
      </c>
      <c r="U173" s="270">
        <f t="shared" si="52"/>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26</v>
      </c>
      <c r="D174" s="134"/>
      <c r="E174" s="241" t="s">
        <v>369</v>
      </c>
      <c r="F174" s="239" t="s">
        <v>2054</v>
      </c>
      <c r="G174" s="240">
        <f>COUNTA(G175)</f>
        <v>1</v>
      </c>
      <c r="H174" s="295" t="s">
        <v>2005</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49"/>
        <v>0</v>
      </c>
      <c r="R174" s="373" t="s">
        <v>2071</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hidden="1" outlineLevel="1">
      <c r="A175" s="274" t="str">
        <f>E175&amp;G175</f>
        <v>lt004_protectiontyp_prtctn</v>
      </c>
      <c r="B175" s="142" t="s">
        <v>26</v>
      </c>
      <c r="C175" s="138" t="s">
        <v>26</v>
      </c>
      <c r="D175" s="235" t="s">
        <v>40</v>
      </c>
      <c r="E175" s="238" t="s">
        <v>369</v>
      </c>
      <c r="F175" s="238"/>
      <c r="G175" s="238" t="s">
        <v>437</v>
      </c>
      <c r="H175" s="235" t="str">
        <f>VLOOKUP(A175,'2. Status Detalhe Campos'!$A$7:$G$574,7,0)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49"/>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customHeight="1" collapsed="1">
      <c r="A176" s="274"/>
      <c r="B176" s="142" t="s">
        <v>26</v>
      </c>
      <c r="C176" s="138" t="s">
        <v>311</v>
      </c>
      <c r="D176" s="134"/>
      <c r="E176" s="239" t="s">
        <v>334</v>
      </c>
      <c r="F176" s="239" t="s">
        <v>1972</v>
      </c>
      <c r="G176" s="459">
        <f>COUNTA(G177:G188)</f>
        <v>12</v>
      </c>
      <c r="H176" s="458" t="s">
        <v>573</v>
      </c>
      <c r="I176" s="276" t="s">
        <v>38</v>
      </c>
      <c r="J176" s="296">
        <f>MIN(J177:J188)</f>
        <v>45628</v>
      </c>
      <c r="K176" s="329">
        <f>MIN(K177:K188)</f>
        <v>45629</v>
      </c>
      <c r="L176" s="277">
        <f>MIN(L177:L188)</f>
        <v>45630</v>
      </c>
      <c r="M176" s="278">
        <f>MAX(M177:M188)</f>
        <v>45667</v>
      </c>
      <c r="N176" s="323" t="s">
        <v>1951</v>
      </c>
      <c r="O176" s="251">
        <v>0</v>
      </c>
      <c r="P176" s="251">
        <v>0</v>
      </c>
      <c r="Q176" s="247">
        <f t="shared" si="49"/>
        <v>0</v>
      </c>
      <c r="R176" s="379" t="s">
        <v>2074</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hidden="1" outlineLevel="1">
      <c r="A177" s="274" t="str">
        <f t="shared" ref="A177:A188" si="53">E177&amp;G177</f>
        <v>modesg_out_sfcs_taxon_europeiacbalcao</v>
      </c>
      <c r="B177" s="142" t="s">
        <v>26</v>
      </c>
      <c r="C177" s="138" t="s">
        <v>311</v>
      </c>
      <c r="D177" s="235" t="s">
        <v>40</v>
      </c>
      <c r="E177" s="236" t="s">
        <v>334</v>
      </c>
      <c r="F177" s="236"/>
      <c r="G177" s="235" t="s">
        <v>183</v>
      </c>
      <c r="H177" s="235" t="str">
        <f>VLOOKUP(A177,'2. Status Detalhe Campos'!$A$7:$G$574,7,0)</f>
        <v>2.2 Em Re-especificação</v>
      </c>
      <c r="I177" s="276" t="s">
        <v>38</v>
      </c>
      <c r="J177" s="324">
        <v>45628</v>
      </c>
      <c r="K177" s="325">
        <v>45629</v>
      </c>
      <c r="L177" s="290">
        <f t="array" ref="L177">MIN(IF(W177:CI177&gt;0,$W$16:$CI$16))</f>
        <v>45630</v>
      </c>
      <c r="M177" s="291">
        <f t="array" ref="M177">MAX(IF(W177:CI177&gt;0,$W$16:$CI$16))</f>
        <v>45630</v>
      </c>
      <c r="N177" s="291"/>
      <c r="O177" s="248">
        <f>VLOOKUP(H177,Auxiliar!$B$16:$E$24,4,0)</f>
        <v>0</v>
      </c>
      <c r="P177" s="248">
        <f t="shared" ref="P177:P188" ca="1" si="54">IF(TODAY()&lt;=L177,0,MIN((TODAY()-L177)/(M177-L177+1),100%))</f>
        <v>1</v>
      </c>
      <c r="Q177" s="247">
        <f t="shared" ca="1" si="49"/>
        <v>-1</v>
      </c>
      <c r="R177" s="380"/>
      <c r="S177" s="280"/>
      <c r="T177" s="270">
        <v>4.0999999999999996</v>
      </c>
      <c r="U177" s="270">
        <f t="shared" ref="U177:U188" si="55">ROUND(T177/8,1)</f>
        <v>0.5</v>
      </c>
      <c r="V177" s="270">
        <f t="shared" ref="V177:V188" si="56">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53"/>
        <v>modesg_out_sfcs_taxon_europeiacempresa</v>
      </c>
      <c r="B178" s="142" t="s">
        <v>26</v>
      </c>
      <c r="C178" s="138" t="s">
        <v>311</v>
      </c>
      <c r="D178" s="235" t="s">
        <v>40</v>
      </c>
      <c r="E178" s="236" t="s">
        <v>334</v>
      </c>
      <c r="F178" s="236"/>
      <c r="G178" s="235" t="s">
        <v>184</v>
      </c>
      <c r="H178" s="235" t="str">
        <f>VLOOKUP(A178,'2. Status Detalhe Campos'!$A$7:$G$574,7,0)</f>
        <v>2.2 Em Re-especificação</v>
      </c>
      <c r="I178" s="276" t="s">
        <v>38</v>
      </c>
      <c r="J178" s="324">
        <v>45628</v>
      </c>
      <c r="K178" s="325">
        <v>45629</v>
      </c>
      <c r="L178" s="290">
        <f t="array" ref="L178">MIN(IF(W178:CI178&gt;0,$W$16:$CI$16))</f>
        <v>45630</v>
      </c>
      <c r="M178" s="291">
        <f t="array" ref="M178">MAX(IF(W178:CI178&gt;0,$W$16:$CI$16))</f>
        <v>45630</v>
      </c>
      <c r="N178" s="291"/>
      <c r="O178" s="248">
        <f>VLOOKUP(H178,Auxiliar!$B$16:$E$24,4,0)</f>
        <v>0</v>
      </c>
      <c r="P178" s="248">
        <f t="shared" ca="1" si="54"/>
        <v>1</v>
      </c>
      <c r="Q178" s="247">
        <f t="shared" ca="1" si="49"/>
        <v>-1</v>
      </c>
      <c r="R178" s="380"/>
      <c r="S178" s="280"/>
      <c r="T178" s="270">
        <v>4.0999999999999996</v>
      </c>
      <c r="U178" s="270">
        <f t="shared" si="55"/>
        <v>0.5</v>
      </c>
      <c r="V178" s="270">
        <f t="shared" si="56"/>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53"/>
        <v>modesg_out_sfcs_taxon_europeiacnumecta</v>
      </c>
      <c r="B179" s="142" t="s">
        <v>26</v>
      </c>
      <c r="C179" s="138" t="s">
        <v>311</v>
      </c>
      <c r="D179" s="235" t="s">
        <v>40</v>
      </c>
      <c r="E179" s="236" t="s">
        <v>334</v>
      </c>
      <c r="F179" s="236"/>
      <c r="G179" s="235" t="s">
        <v>189</v>
      </c>
      <c r="H179" s="235" t="str">
        <f>VLOOKUP(A179,'2. Status Detalhe Campos'!$A$7:$G$574,7,0)</f>
        <v>2.2 Em Re-especificação</v>
      </c>
      <c r="I179" s="276" t="s">
        <v>38</v>
      </c>
      <c r="J179" s="324">
        <v>45628</v>
      </c>
      <c r="K179" s="325">
        <v>45629</v>
      </c>
      <c r="L179" s="290">
        <f t="array" ref="L179">MIN(IF(W179:CI179&gt;0,$W$16:$CI$16))</f>
        <v>45631</v>
      </c>
      <c r="M179" s="291">
        <f t="array" ref="M179">MAX(IF(W179:CI179&gt;0,$W$16:$CI$16))</f>
        <v>45631</v>
      </c>
      <c r="N179" s="291"/>
      <c r="O179" s="248">
        <f>VLOOKUP(H179,Auxiliar!$B$16:$E$24,4,0)</f>
        <v>0</v>
      </c>
      <c r="P179" s="248">
        <f t="shared" ca="1" si="54"/>
        <v>1</v>
      </c>
      <c r="Q179" s="247">
        <f t="shared" ca="1" si="49"/>
        <v>-1</v>
      </c>
      <c r="R179" s="380"/>
      <c r="S179" s="280"/>
      <c r="T179" s="270">
        <v>4.0999999999999996</v>
      </c>
      <c r="U179" s="270">
        <f t="shared" si="55"/>
        <v>0.5</v>
      </c>
      <c r="V179" s="270">
        <f t="shared" si="56"/>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53"/>
        <v>modesg_out_sfcs_taxon_europeiacod_regra</v>
      </c>
      <c r="B180" s="142" t="s">
        <v>26</v>
      </c>
      <c r="C180" s="138" t="s">
        <v>311</v>
      </c>
      <c r="D180" s="235" t="s">
        <v>40</v>
      </c>
      <c r="E180" s="236" t="s">
        <v>334</v>
      </c>
      <c r="F180" s="236"/>
      <c r="G180" s="235" t="s">
        <v>191</v>
      </c>
      <c r="H180" s="235" t="str">
        <f>VLOOKUP(A180,'2. Status Detalhe Campos'!$A$7:$G$574,7,0)</f>
        <v>2.2 Em Re-especificação</v>
      </c>
      <c r="I180" s="276" t="s">
        <v>38</v>
      </c>
      <c r="J180" s="324">
        <v>45628</v>
      </c>
      <c r="K180" s="325">
        <v>45629</v>
      </c>
      <c r="L180" s="290">
        <f t="array" ref="L180">MIN(IF(W180:CI180&gt;0,$W$16:$CI$16))</f>
        <v>45631</v>
      </c>
      <c r="M180" s="291">
        <f t="array" ref="M180">MAX(IF(W180:CI180&gt;0,$W$16:$CI$16))</f>
        <v>45631</v>
      </c>
      <c r="N180" s="291"/>
      <c r="O180" s="248">
        <f>VLOOKUP(H180,Auxiliar!$B$16:$E$24,4,0)</f>
        <v>0</v>
      </c>
      <c r="P180" s="248">
        <f t="shared" ca="1" si="54"/>
        <v>1</v>
      </c>
      <c r="Q180" s="247">
        <f t="shared" ca="1" si="49"/>
        <v>-1</v>
      </c>
      <c r="R180" s="380"/>
      <c r="S180" s="280"/>
      <c r="T180" s="270">
        <v>4.0999999999999996</v>
      </c>
      <c r="U180" s="270">
        <f t="shared" si="55"/>
        <v>0.5</v>
      </c>
      <c r="V180" s="270">
        <f t="shared" si="56"/>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53"/>
        <v>modesg_out_sfcs_taxon_europeiamontante_pndrc</v>
      </c>
      <c r="B181" s="142" t="s">
        <v>26</v>
      </c>
      <c r="C181" s="138" t="s">
        <v>311</v>
      </c>
      <c r="D181" s="235" t="s">
        <v>40</v>
      </c>
      <c r="E181" s="236" t="s">
        <v>334</v>
      </c>
      <c r="F181" s="236"/>
      <c r="G181" s="235" t="s">
        <v>202</v>
      </c>
      <c r="H181" s="235" t="str">
        <f>VLOOKUP(A181,'2. Status Detalhe Campos'!$A$7:$G$574,7,0)</f>
        <v>2.2 Em Re-especificação</v>
      </c>
      <c r="I181" s="276" t="s">
        <v>38</v>
      </c>
      <c r="J181" s="324">
        <v>45628</v>
      </c>
      <c r="K181" s="325">
        <v>45629</v>
      </c>
      <c r="L181" s="290">
        <f t="array" ref="L181">MIN(IF(W181:CI181&gt;0,$W$16:$CI$16))</f>
        <v>45632</v>
      </c>
      <c r="M181" s="291">
        <f t="array" ref="M181">MAX(IF(W181:CI181&gt;0,$W$16:$CI$16))</f>
        <v>45635</v>
      </c>
      <c r="N181" s="291"/>
      <c r="O181" s="248">
        <f>VLOOKUP(H181,Auxiliar!$B$16:$E$24,4,0)</f>
        <v>0</v>
      </c>
      <c r="P181" s="248">
        <f t="shared" ca="1" si="54"/>
        <v>1</v>
      </c>
      <c r="Q181" s="247">
        <f t="shared" ca="1" si="49"/>
        <v>-1</v>
      </c>
      <c r="R181" s="380"/>
      <c r="S181" s="280"/>
      <c r="T181" s="270">
        <v>16.100000000000001</v>
      </c>
      <c r="U181" s="270">
        <f t="shared" si="55"/>
        <v>2</v>
      </c>
      <c r="V181" s="270">
        <f t="shared" si="56"/>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53"/>
        <v>modesg_out_sfcs_taxon_europeianome_ctgr_sfcs</v>
      </c>
      <c r="B182" s="142" t="s">
        <v>26</v>
      </c>
      <c r="C182" s="138" t="s">
        <v>311</v>
      </c>
      <c r="D182" s="235" t="s">
        <v>40</v>
      </c>
      <c r="E182" s="236" t="s">
        <v>334</v>
      </c>
      <c r="F182" s="236"/>
      <c r="G182" s="235" t="s">
        <v>203</v>
      </c>
      <c r="H182" s="235" t="str">
        <f>VLOOKUP(A182,'2. Status Detalhe Campos'!$A$7:$G$574,7,0)</f>
        <v>2.2 Em Re-especificação</v>
      </c>
      <c r="I182" s="276" t="s">
        <v>38</v>
      </c>
      <c r="J182" s="324">
        <v>45628</v>
      </c>
      <c r="K182" s="325">
        <v>45629</v>
      </c>
      <c r="L182" s="290">
        <f t="array" ref="L182">MIN(IF(W182:CI182&gt;0,$W$16:$CI$16))</f>
        <v>45636</v>
      </c>
      <c r="M182" s="291">
        <f t="array" ref="M182">MAX(IF(W182:CI182&gt;0,$W$16:$CI$16))</f>
        <v>45637</v>
      </c>
      <c r="N182" s="291"/>
      <c r="O182" s="248">
        <f>VLOOKUP(H182,Auxiliar!$B$16:$E$24,4,0)</f>
        <v>0</v>
      </c>
      <c r="P182" s="248">
        <f t="shared" ca="1" si="54"/>
        <v>1</v>
      </c>
      <c r="Q182" s="247">
        <f t="shared" ca="1" si="49"/>
        <v>-1</v>
      </c>
      <c r="R182" s="380"/>
      <c r="S182" s="280"/>
      <c r="T182" s="270">
        <v>16.100000000000001</v>
      </c>
      <c r="U182" s="270">
        <f t="shared" si="55"/>
        <v>2</v>
      </c>
      <c r="V182" s="270">
        <f t="shared" si="56"/>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53"/>
        <v>modesg_out_sfcs_taxon_europeianome_general_specific_purpose</v>
      </c>
      <c r="B183" s="142" t="s">
        <v>26</v>
      </c>
      <c r="C183" s="138" t="s">
        <v>311</v>
      </c>
      <c r="D183" s="235" t="s">
        <v>40</v>
      </c>
      <c r="E183" s="236" t="s">
        <v>334</v>
      </c>
      <c r="F183" s="236"/>
      <c r="G183" s="235" t="s">
        <v>204</v>
      </c>
      <c r="H183" s="235" t="str">
        <f>VLOOKUP(A183,'2. Status Detalhe Campos'!$A$7:$G$574,7,0)</f>
        <v>2.2 Em Re-especificação</v>
      </c>
      <c r="I183" s="276" t="s">
        <v>38</v>
      </c>
      <c r="J183" s="324">
        <v>45628</v>
      </c>
      <c r="K183" s="325">
        <v>45629</v>
      </c>
      <c r="L183" s="290">
        <f t="array" ref="L183">MIN(IF(W183:CI183&gt;0,$W$16:$CI$16))</f>
        <v>45638</v>
      </c>
      <c r="M183" s="291">
        <f t="array" ref="M183">MAX(IF(W183:CI183&gt;0,$W$16:$CI$16))</f>
        <v>45638</v>
      </c>
      <c r="N183" s="291"/>
      <c r="O183" s="248">
        <f>VLOOKUP(H183,Auxiliar!$B$16:$E$24,4,0)</f>
        <v>0</v>
      </c>
      <c r="P183" s="248">
        <f t="shared" ca="1" si="54"/>
        <v>1</v>
      </c>
      <c r="Q183" s="247">
        <f t="shared" ca="1" si="49"/>
        <v>-1</v>
      </c>
      <c r="R183" s="380"/>
      <c r="S183" s="280"/>
      <c r="T183" s="270">
        <v>8.1</v>
      </c>
      <c r="U183" s="270">
        <f t="shared" si="55"/>
        <v>1</v>
      </c>
      <c r="V183" s="270">
        <f t="shared" si="56"/>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53"/>
        <v>modesg_out_sfcs_taxon_europeianome_purpose_esg</v>
      </c>
      <c r="B184" s="142" t="s">
        <v>26</v>
      </c>
      <c r="C184" s="138" t="s">
        <v>311</v>
      </c>
      <c r="D184" s="235" t="s">
        <v>40</v>
      </c>
      <c r="E184" s="236" t="s">
        <v>334</v>
      </c>
      <c r="F184" s="236"/>
      <c r="G184" s="235" t="s">
        <v>205</v>
      </c>
      <c r="H184" s="235" t="str">
        <f>VLOOKUP(A184,'2. Status Detalhe Campos'!$A$7:$G$574,7,0)</f>
        <v>2.2 Em Re-especificação</v>
      </c>
      <c r="I184" s="276" t="s">
        <v>38</v>
      </c>
      <c r="J184" s="324">
        <v>45628</v>
      </c>
      <c r="K184" s="325">
        <v>45629</v>
      </c>
      <c r="L184" s="290">
        <f t="array" ref="L184">MIN(IF(W184:CI184&gt;0,$W$16:$CI$16))</f>
        <v>45639</v>
      </c>
      <c r="M184" s="291">
        <f t="array" ref="M184">MAX(IF(W184:CI184&gt;0,$W$16:$CI$16))</f>
        <v>45639</v>
      </c>
      <c r="N184" s="291"/>
      <c r="O184" s="248">
        <f>VLOOKUP(H184,Auxiliar!$B$16:$E$24,4,0)</f>
        <v>0</v>
      </c>
      <c r="P184" s="248">
        <f t="shared" ca="1" si="54"/>
        <v>1</v>
      </c>
      <c r="Q184" s="247">
        <f t="shared" ca="1" si="49"/>
        <v>-1</v>
      </c>
      <c r="R184" s="380"/>
      <c r="S184" s="280"/>
      <c r="T184" s="270">
        <v>8.1</v>
      </c>
      <c r="U184" s="270">
        <f t="shared" si="55"/>
        <v>1</v>
      </c>
      <c r="V184" s="270">
        <f t="shared" si="56"/>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53"/>
        <v>modesg_out_sfcs_taxon_europeianome_specific_eligible</v>
      </c>
      <c r="B185" s="142" t="s">
        <v>26</v>
      </c>
      <c r="C185" s="138" t="s">
        <v>311</v>
      </c>
      <c r="D185" s="235" t="s">
        <v>40</v>
      </c>
      <c r="E185" s="236" t="s">
        <v>334</v>
      </c>
      <c r="F185" s="236"/>
      <c r="G185" s="235" t="s">
        <v>206</v>
      </c>
      <c r="H185" s="235" t="str">
        <f>VLOOKUP(A185,'2. Status Detalhe Campos'!$A$7:$G$574,7,0)</f>
        <v>2.2 Em Re-especificação</v>
      </c>
      <c r="I185" s="276" t="s">
        <v>38</v>
      </c>
      <c r="J185" s="324">
        <v>45628</v>
      </c>
      <c r="K185" s="325">
        <v>45629</v>
      </c>
      <c r="L185" s="290">
        <f t="array" ref="L185">MIN(IF(W185:CI185&gt;0,$W$16:$CI$16))</f>
        <v>45642</v>
      </c>
      <c r="M185" s="291">
        <f t="array" ref="M185">MAX(IF(W185:CI185&gt;0,$W$16:$CI$16))</f>
        <v>45642</v>
      </c>
      <c r="N185" s="291"/>
      <c r="O185" s="248">
        <f>VLOOKUP(H185,Auxiliar!$B$16:$E$24,4,0)</f>
        <v>0</v>
      </c>
      <c r="P185" s="248">
        <f t="shared" ca="1" si="54"/>
        <v>1</v>
      </c>
      <c r="Q185" s="247">
        <f t="shared" ca="1" si="49"/>
        <v>-1</v>
      </c>
      <c r="R185" s="380"/>
      <c r="S185" s="280"/>
      <c r="T185" s="270">
        <v>8.1</v>
      </c>
      <c r="U185" s="270">
        <f t="shared" si="55"/>
        <v>1</v>
      </c>
      <c r="V185" s="270">
        <f t="shared" si="56"/>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53"/>
        <v>modesg_out_sfcs_taxon_europeianome_specific_sustainable</v>
      </c>
      <c r="B186" s="142" t="s">
        <v>26</v>
      </c>
      <c r="C186" s="138" t="s">
        <v>311</v>
      </c>
      <c r="D186" s="235" t="s">
        <v>40</v>
      </c>
      <c r="E186" s="236" t="s">
        <v>334</v>
      </c>
      <c r="F186" s="236"/>
      <c r="G186" s="235" t="s">
        <v>207</v>
      </c>
      <c r="H186" s="235" t="str">
        <f>VLOOKUP(A186,'2. Status Detalhe Campos'!$A$7:$G$574,7,0)</f>
        <v>2.2 Em Re-especificação</v>
      </c>
      <c r="I186" s="276" t="s">
        <v>38</v>
      </c>
      <c r="J186" s="324">
        <v>45628</v>
      </c>
      <c r="K186" s="325">
        <v>45629</v>
      </c>
      <c r="L186" s="290">
        <f t="array" ref="L186">MIN(IF(W186:CI186&gt;0,$W$16:$CI$16))</f>
        <v>45643</v>
      </c>
      <c r="M186" s="291">
        <f t="array" ref="M186">MAX(IF(W186:CI186&gt;0,$W$16:$CI$16))</f>
        <v>45643</v>
      </c>
      <c r="N186" s="291"/>
      <c r="O186" s="248">
        <f>VLOOKUP(H186,Auxiliar!$B$16:$E$24,4,0)</f>
        <v>0</v>
      </c>
      <c r="P186" s="248">
        <f t="shared" ca="1" si="54"/>
        <v>1</v>
      </c>
      <c r="Q186" s="247">
        <f t="shared" ca="1" si="49"/>
        <v>-1</v>
      </c>
      <c r="R186" s="380"/>
      <c r="S186" s="280"/>
      <c r="T186" s="270">
        <v>8.1</v>
      </c>
      <c r="U186" s="270">
        <f t="shared" si="55"/>
        <v>1</v>
      </c>
      <c r="V186" s="270">
        <f t="shared" si="56"/>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 t="shared" si="53"/>
        <v>modesg_out_sfcs_taxon_europeiaref_date</v>
      </c>
      <c r="B187" s="142" t="s">
        <v>26</v>
      </c>
      <c r="C187" s="138" t="s">
        <v>311</v>
      </c>
      <c r="D187" s="235" t="s">
        <v>40</v>
      </c>
      <c r="E187" s="236" t="s">
        <v>334</v>
      </c>
      <c r="F187" s="236"/>
      <c r="G187" s="235" t="s">
        <v>208</v>
      </c>
      <c r="H187" s="235" t="str">
        <f>VLOOKUP(A187,'2. Status Detalhe Campos'!$A$7:$G$574,7,0)</f>
        <v>2.2 Em Re-especificação</v>
      </c>
      <c r="I187" s="276" t="s">
        <v>38</v>
      </c>
      <c r="J187" s="324">
        <v>45628</v>
      </c>
      <c r="K187" s="325">
        <v>45629</v>
      </c>
      <c r="L187" s="290">
        <f t="array" ref="L187">MIN(IF(W187:CI187&gt;0,$W$16:$CI$16))</f>
        <v>45644</v>
      </c>
      <c r="M187" s="291">
        <f t="array" ref="M187">MAX(IF(W187:CI187&gt;0,$W$16:$CI$16))</f>
        <v>45644</v>
      </c>
      <c r="N187" s="291"/>
      <c r="O187" s="248">
        <f>VLOOKUP(H187,Auxiliar!$B$16:$E$24,4,0)</f>
        <v>0</v>
      </c>
      <c r="P187" s="248">
        <f t="shared" ca="1" si="54"/>
        <v>1</v>
      </c>
      <c r="Q187" s="247">
        <f t="shared" ca="1" si="49"/>
        <v>-1</v>
      </c>
      <c r="R187" s="380"/>
      <c r="S187" s="280"/>
      <c r="T187" s="270">
        <v>4.0999999999999996</v>
      </c>
      <c r="U187" s="270">
        <f t="shared" si="55"/>
        <v>0.5</v>
      </c>
      <c r="V187" s="270">
        <f t="shared" si="56"/>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 t="shared" si="53"/>
        <v>modesg_out_sfcs_taxon_europeiazdeposit</v>
      </c>
      <c r="B188" s="142" t="s">
        <v>26</v>
      </c>
      <c r="C188" s="138" t="s">
        <v>311</v>
      </c>
      <c r="D188" s="235" t="s">
        <v>40</v>
      </c>
      <c r="E188" s="236" t="s">
        <v>334</v>
      </c>
      <c r="F188" s="236"/>
      <c r="G188" s="235" t="s">
        <v>210</v>
      </c>
      <c r="H188" s="235" t="str">
        <f>VLOOKUP(A188,'2. Status Detalhe Campos'!$A$7:$G$574,7,0)</f>
        <v>2.2 Em Re-especificação</v>
      </c>
      <c r="I188" s="276" t="s">
        <v>38</v>
      </c>
      <c r="J188" s="324">
        <v>45628</v>
      </c>
      <c r="K188" s="325">
        <v>45629</v>
      </c>
      <c r="L188" s="290">
        <f t="array" ref="L188">MIN(IF(W188:CI188&gt;0,$W$16:$CI$16))</f>
        <v>45644</v>
      </c>
      <c r="M188" s="291">
        <f t="array" ref="M188">MAX(IF(W188:CI188&gt;0,$W$16:$CI$16))</f>
        <v>45667</v>
      </c>
      <c r="N188" s="291"/>
      <c r="O188" s="248">
        <f>VLOOKUP(H188,Auxiliar!$B$16:$E$24,4,0)</f>
        <v>0</v>
      </c>
      <c r="P188" s="248">
        <f t="shared" ca="1" si="54"/>
        <v>1</v>
      </c>
      <c r="Q188" s="247">
        <f t="shared" ca="1" si="49"/>
        <v>-1</v>
      </c>
      <c r="R188" s="380"/>
      <c r="S188" s="280"/>
      <c r="T188" s="270">
        <v>8.1</v>
      </c>
      <c r="U188" s="270">
        <f t="shared" si="55"/>
        <v>1</v>
      </c>
      <c r="V188" s="270">
        <f t="shared" si="56"/>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2013</v>
      </c>
      <c r="G189" s="240">
        <f>COUNTA(G190:G192)</f>
        <v>3</v>
      </c>
      <c r="H189" s="275" t="s">
        <v>2009</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7">O189-P189</f>
        <v>-1</v>
      </c>
      <c r="R189" s="373" t="s">
        <v>2076</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lt002_instrumentmthd_usd_instrmnt_scp_1</v>
      </c>
      <c r="B190" s="142" t="s">
        <v>26</v>
      </c>
      <c r="C190" s="138" t="s">
        <v>26</v>
      </c>
      <c r="D190" s="235" t="s">
        <v>40</v>
      </c>
      <c r="E190" s="238" t="s">
        <v>380</v>
      </c>
      <c r="F190" s="238"/>
      <c r="G190" s="238" t="s">
        <v>386</v>
      </c>
      <c r="H190" s="235" t="str">
        <f>VLOOKUP(A190,'2. Status Detalhe Campos'!$A$7:$G$574,7,0)</f>
        <v>3. Pendente de outros desenvolvimentos</v>
      </c>
      <c r="I190" s="375">
        <v>45603</v>
      </c>
      <c r="J190" s="324">
        <v>45631</v>
      </c>
      <c r="K190" s="324">
        <v>45631</v>
      </c>
      <c r="L190" s="290">
        <f t="array" ref="L190">MIN(IF(W190:CI190&gt;0,$W$16:$CI$16))</f>
        <v>45642</v>
      </c>
      <c r="M190" s="291">
        <f t="array" ref="M190">MAX(IF(W190:CI190&gt;0,$W$16:$CI$16))</f>
        <v>45642</v>
      </c>
      <c r="N190" s="291"/>
      <c r="O190" s="387">
        <f>VLOOKUP(H190,Auxiliar!$B$16:$E$24,4,0)</f>
        <v>0</v>
      </c>
      <c r="P190" s="387">
        <f ca="1">IF(TODAY()&lt;=L190,0,MIN((TODAY()-L190)/(M190-L190+1),100%))</f>
        <v>1</v>
      </c>
      <c r="Q190" s="247">
        <f t="shared" ca="1" si="57"/>
        <v>-1</v>
      </c>
      <c r="R190" s="380"/>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E191&amp;G191</f>
        <v>lt002_instrumentmthd_usd_instrmnt_scp_2</v>
      </c>
      <c r="B191" s="142" t="s">
        <v>26</v>
      </c>
      <c r="C191" s="138" t="s">
        <v>26</v>
      </c>
      <c r="D191" s="235" t="s">
        <v>40</v>
      </c>
      <c r="E191" s="238" t="s">
        <v>380</v>
      </c>
      <c r="F191" s="238"/>
      <c r="G191" s="238" t="s">
        <v>387</v>
      </c>
      <c r="H191" s="235" t="str">
        <f>VLOOKUP(A191,'2. Status Detalhe Campos'!$A$7:$G$574,7,0)</f>
        <v>3. Pendente de outros desenvolvimentos</v>
      </c>
      <c r="I191" s="375">
        <v>45603</v>
      </c>
      <c r="J191" s="324">
        <v>45631</v>
      </c>
      <c r="K191" s="324">
        <v>45631</v>
      </c>
      <c r="L191" s="290">
        <f t="array" ref="L191">MIN(IF(W191:CI191&gt;0,$W$16:$CI$16))</f>
        <v>45643</v>
      </c>
      <c r="M191" s="291">
        <f t="array" ref="M191">MAX(IF(W191:CI191&gt;0,$W$16:$CI$16))</f>
        <v>45643</v>
      </c>
      <c r="N191" s="291"/>
      <c r="O191" s="387">
        <f>VLOOKUP(H191,Auxiliar!$B$16:$E$24,4,0)</f>
        <v>0</v>
      </c>
      <c r="P191" s="387">
        <f ca="1">IF(TODAY()&lt;=L191,0,MIN((TODAY()-L191)/(M191-L191+1),100%))</f>
        <v>1</v>
      </c>
      <c r="Q191" s="247">
        <f t="shared" ca="1" si="57"/>
        <v>-1</v>
      </c>
      <c r="R191" s="380"/>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lt002_instrumentmthd_usd_instrmnt_scp_3</v>
      </c>
      <c r="B192" s="142" t="s">
        <v>26</v>
      </c>
      <c r="C192" s="138" t="s">
        <v>26</v>
      </c>
      <c r="D192" s="235" t="s">
        <v>40</v>
      </c>
      <c r="E192" s="238" t="s">
        <v>380</v>
      </c>
      <c r="F192" s="238"/>
      <c r="G192" s="238" t="s">
        <v>388</v>
      </c>
      <c r="H192" s="235" t="str">
        <f>VLOOKUP(A192,'2. Status Detalhe Campos'!$A$7:$G$574,7,0)</f>
        <v>3. Pendente de outros desenvolvimentos</v>
      </c>
      <c r="I192" s="375">
        <v>45603</v>
      </c>
      <c r="J192" s="324">
        <v>45631</v>
      </c>
      <c r="K192" s="324">
        <v>45631</v>
      </c>
      <c r="L192" s="290">
        <f t="array" ref="L192">MIN(IF(W192:CI192&gt;0,$W$16:$CI$16))</f>
        <v>45643</v>
      </c>
      <c r="M192" s="291">
        <f t="array" ref="M192">MAX(IF(W192:CI192&gt;0,$W$16:$CI$16))</f>
        <v>45643</v>
      </c>
      <c r="N192" s="291"/>
      <c r="O192" s="387">
        <f>VLOOKUP(H192,Auxiliar!$B$16:$E$24,4,0)</f>
        <v>0</v>
      </c>
      <c r="P192" s="387">
        <f ca="1">IF(TODAY()&lt;=L192,0,MIN((TODAY()-L192)/(M192-L192+1),100%))</f>
        <v>1</v>
      </c>
      <c r="Q192" s="247">
        <f t="shared" ca="1" si="57"/>
        <v>-1</v>
      </c>
      <c r="R192" s="380"/>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311</v>
      </c>
      <c r="D193" s="134"/>
      <c r="E193" s="239" t="s">
        <v>326</v>
      </c>
      <c r="F193" s="239" t="s">
        <v>1994</v>
      </c>
      <c r="G193" s="240">
        <f>COUNTA(G194:G197)</f>
        <v>4</v>
      </c>
      <c r="H193" s="295" t="s">
        <v>2005</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7"/>
        <v>0</v>
      </c>
      <c r="R193" s="373" t="s">
        <v>2051</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modesg_out_empr_info_nfinflg_rsc_fsc_agd</v>
      </c>
      <c r="B194" s="142" t="s">
        <v>26</v>
      </c>
      <c r="C194" s="138" t="s">
        <v>311</v>
      </c>
      <c r="D194" s="235" t="s">
        <v>40</v>
      </c>
      <c r="E194" s="236" t="s">
        <v>326</v>
      </c>
      <c r="F194" s="236"/>
      <c r="G194" s="235" t="s">
        <v>283</v>
      </c>
      <c r="H194" s="235" t="str">
        <f>VLOOKUP(A194,'2. Status Detalhe Campos'!$A$7:$G$574,7,0)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7"/>
        <v>0</v>
      </c>
      <c r="R194" s="379"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modesg_out_empr_info_nfinflg_rsc_fsc_crnc</v>
      </c>
      <c r="B195" s="142" t="s">
        <v>26</v>
      </c>
      <c r="C195" s="138" t="s">
        <v>311</v>
      </c>
      <c r="D195" s="235" t="s">
        <v>40</v>
      </c>
      <c r="E195" s="236" t="s">
        <v>326</v>
      </c>
      <c r="F195" s="236"/>
      <c r="G195" s="235" t="s">
        <v>284</v>
      </c>
      <c r="H195" s="235" t="str">
        <f>VLOOKUP(A195,'2. Status Detalhe Campos'!$A$7:$G$574,7,0)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7"/>
        <v>0</v>
      </c>
      <c r="R195" s="379"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Campos'!$A$7:$G$574,7,0)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7"/>
        <v>0</v>
      </c>
      <c r="R196" s="379"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Campos'!$A$7:$G$574,7,0)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7"/>
        <v>0</v>
      </c>
      <c r="R197" s="379"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customHeight="1" collapsed="1">
      <c r="A198" s="274"/>
      <c r="B198" s="142" t="s">
        <v>26</v>
      </c>
      <c r="C198" s="138" t="s">
        <v>26</v>
      </c>
      <c r="D198" s="134"/>
      <c r="E198" s="241" t="s">
        <v>369</v>
      </c>
      <c r="F198" s="239" t="s">
        <v>2012</v>
      </c>
      <c r="G198" s="240">
        <f>COUNTA(G199:G204)</f>
        <v>6</v>
      </c>
      <c r="H198" s="295" t="s">
        <v>2005</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58">O198-P198</f>
        <v>0</v>
      </c>
      <c r="R198" s="373" t="s">
        <v>2070</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hidden="1" outlineLevel="1">
      <c r="A199" s="274" t="str">
        <f t="shared" ref="A199:A204" si="59">E199&amp;G199</f>
        <v>lt004_protectionemssns_scp1_prtctn</v>
      </c>
      <c r="B199" s="142" t="s">
        <v>26</v>
      </c>
      <c r="C199" s="138" t="s">
        <v>26</v>
      </c>
      <c r="D199" s="235" t="s">
        <v>40</v>
      </c>
      <c r="E199" s="238" t="s">
        <v>369</v>
      </c>
      <c r="F199" s="238"/>
      <c r="G199" s="238" t="s">
        <v>374</v>
      </c>
      <c r="H199" s="235" t="str">
        <f>VLOOKUP(A199,'2. Status Detalhe Campos'!$A$7:$G$574,7,0)</f>
        <v>1. Concluído</v>
      </c>
      <c r="I199" s="376">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0">IF(TODAY()&lt;=L199,0,MIN((TODAY()-L199)/(M199-L199+1),100%))</f>
        <v>1</v>
      </c>
      <c r="Q199" s="247">
        <f t="shared" ca="1" si="58"/>
        <v>0</v>
      </c>
      <c r="R199" s="379" t="s">
        <v>38</v>
      </c>
      <c r="S199" s="280" t="s">
        <v>1947</v>
      </c>
      <c r="T199" s="270">
        <v>4.0999999999999996</v>
      </c>
      <c r="U199" s="270">
        <f t="shared" ref="U199:U204" si="61">ROUND(T199/8,1)</f>
        <v>0.5</v>
      </c>
      <c r="V199" s="270">
        <f t="shared" ref="V199:V204" si="62">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59"/>
        <v>lt004_protectionemssns_scp2_prtctn</v>
      </c>
      <c r="B200" s="142" t="s">
        <v>26</v>
      </c>
      <c r="C200" s="138" t="s">
        <v>26</v>
      </c>
      <c r="D200" s="235" t="s">
        <v>40</v>
      </c>
      <c r="E200" s="238" t="s">
        <v>369</v>
      </c>
      <c r="F200" s="238"/>
      <c r="G200" s="238" t="s">
        <v>375</v>
      </c>
      <c r="H200" s="235" t="str">
        <f>VLOOKUP(A200,'2. Status Detalhe Campos'!$A$7:$G$574,7,0)</f>
        <v>1. Concluído</v>
      </c>
      <c r="I200" s="376">
        <v>45603</v>
      </c>
      <c r="J200" s="324">
        <v>45631</v>
      </c>
      <c r="K200" s="324">
        <v>45631</v>
      </c>
      <c r="L200" s="290">
        <f t="array" ref="L200">MIN(IF(W200:CI200&gt;0,$W$16:$CI$16))</f>
        <v>45649</v>
      </c>
      <c r="M200" s="291">
        <f t="array" ref="M200">MAX(IF(W200:CI200&gt;0,$W$16:$CI$16))</f>
        <v>45649</v>
      </c>
      <c r="N200" s="291"/>
      <c r="O200" s="248">
        <f>VLOOKUP(H200,Auxiliar!$B$16:$E$24,4,0)</f>
        <v>1</v>
      </c>
      <c r="P200" s="248">
        <f t="shared" ca="1" si="60"/>
        <v>1</v>
      </c>
      <c r="Q200" s="247">
        <f t="shared" ca="1" si="58"/>
        <v>0</v>
      </c>
      <c r="R200" s="379" t="s">
        <v>38</v>
      </c>
      <c r="S200" s="280" t="s">
        <v>1947</v>
      </c>
      <c r="T200" s="270">
        <v>4.0999999999999996</v>
      </c>
      <c r="U200" s="270">
        <f t="shared" si="61"/>
        <v>0.5</v>
      </c>
      <c r="V200" s="270">
        <f t="shared" si="62"/>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59"/>
        <v>lt004_protectionemssns_scp3_prtctn</v>
      </c>
      <c r="B201" s="142" t="s">
        <v>26</v>
      </c>
      <c r="C201" s="138" t="s">
        <v>26</v>
      </c>
      <c r="D201" s="235" t="s">
        <v>40</v>
      </c>
      <c r="E201" s="238" t="s">
        <v>369</v>
      </c>
      <c r="F201" s="238"/>
      <c r="G201" s="238" t="s">
        <v>376</v>
      </c>
      <c r="H201" s="235" t="str">
        <f>VLOOKUP(A201,'2. Status Detalhe Campos'!$A$7:$G$574,7,0)</f>
        <v>1. Concluído</v>
      </c>
      <c r="I201" s="376">
        <v>45603</v>
      </c>
      <c r="J201" s="324">
        <v>45631</v>
      </c>
      <c r="K201" s="324">
        <v>45631</v>
      </c>
      <c r="L201" s="290">
        <f t="array" ref="L201">MIN(IF(W201:CI201&gt;0,$W$16:$CI$16))</f>
        <v>45649</v>
      </c>
      <c r="M201" s="291">
        <f t="array" ref="M201">MAX(IF(W201:CI201&gt;0,$W$16:$CI$16))</f>
        <v>45649</v>
      </c>
      <c r="N201" s="291"/>
      <c r="O201" s="248">
        <f>VLOOKUP(H201,Auxiliar!$B$16:$E$24,4,0)</f>
        <v>1</v>
      </c>
      <c r="P201" s="248">
        <f t="shared" ca="1" si="60"/>
        <v>1</v>
      </c>
      <c r="Q201" s="247">
        <f t="shared" ca="1" si="58"/>
        <v>0</v>
      </c>
      <c r="R201" s="379" t="s">
        <v>38</v>
      </c>
      <c r="S201" s="280" t="s">
        <v>1947</v>
      </c>
      <c r="T201" s="270">
        <v>4.0999999999999996</v>
      </c>
      <c r="U201" s="270">
        <f t="shared" si="61"/>
        <v>0.5</v>
      </c>
      <c r="V201" s="270">
        <f t="shared" si="62"/>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59"/>
        <v>lt004_protectionmthd_usd_prtctn_scp_1</v>
      </c>
      <c r="B202" s="142" t="s">
        <v>26</v>
      </c>
      <c r="C202" s="138" t="s">
        <v>26</v>
      </c>
      <c r="D202" s="235" t="s">
        <v>40</v>
      </c>
      <c r="E202" s="238" t="s">
        <v>369</v>
      </c>
      <c r="F202" s="238"/>
      <c r="G202" s="238" t="s">
        <v>377</v>
      </c>
      <c r="H202" s="235" t="str">
        <f>VLOOKUP(A202,'2. Status Detalhe Campos'!$A$7:$G$574,7,0)</f>
        <v>1. Concluído</v>
      </c>
      <c r="I202" s="376">
        <v>45603</v>
      </c>
      <c r="J202" s="324">
        <v>45631</v>
      </c>
      <c r="K202" s="324">
        <v>45631</v>
      </c>
      <c r="L202" s="290">
        <f t="array" ref="L202">MIN(IF(W202:CI202&gt;0,$W$16:$CI$16))</f>
        <v>45649</v>
      </c>
      <c r="M202" s="291">
        <f t="array" ref="M202">MAX(IF(W202:CI202&gt;0,$W$16:$CI$16))</f>
        <v>45649</v>
      </c>
      <c r="N202" s="291"/>
      <c r="O202" s="248">
        <f>VLOOKUP(H202,Auxiliar!$B$16:$E$24,4,0)</f>
        <v>1</v>
      </c>
      <c r="P202" s="248">
        <f t="shared" ca="1" si="60"/>
        <v>1</v>
      </c>
      <c r="Q202" s="247">
        <f t="shared" ca="1" si="58"/>
        <v>0</v>
      </c>
      <c r="R202" s="379" t="s">
        <v>38</v>
      </c>
      <c r="S202" s="280" t="s">
        <v>1947</v>
      </c>
      <c r="T202" s="270">
        <v>4.0999999999999996</v>
      </c>
      <c r="U202" s="270">
        <f t="shared" si="61"/>
        <v>0.5</v>
      </c>
      <c r="V202" s="270">
        <f t="shared" si="62"/>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hidden="1" outlineLevel="1">
      <c r="A203" s="274" t="str">
        <f t="shared" si="59"/>
        <v>lt004_protectionmthd_usd_prtctn_scp_2</v>
      </c>
      <c r="B203" s="142" t="s">
        <v>26</v>
      </c>
      <c r="C203" s="138" t="s">
        <v>26</v>
      </c>
      <c r="D203" s="235" t="s">
        <v>40</v>
      </c>
      <c r="E203" s="238" t="s">
        <v>369</v>
      </c>
      <c r="F203" s="238"/>
      <c r="G203" s="238" t="s">
        <v>378</v>
      </c>
      <c r="H203" s="235" t="str">
        <f>VLOOKUP(A203,'2. Status Detalhe Campos'!$A$7:$G$574,7,0)</f>
        <v>1. Concluído</v>
      </c>
      <c r="I203" s="376">
        <v>45603</v>
      </c>
      <c r="J203" s="324">
        <v>45631</v>
      </c>
      <c r="K203" s="324">
        <v>45631</v>
      </c>
      <c r="L203" s="290">
        <f t="array" ref="L203">MIN(IF(W203:CI203&gt;0,$W$16:$CI$16))</f>
        <v>45649</v>
      </c>
      <c r="M203" s="291">
        <f t="array" ref="M203">MAX(IF(W203:CI203&gt;0,$W$16:$CI$16))</f>
        <v>45649</v>
      </c>
      <c r="N203" s="291"/>
      <c r="O203" s="248">
        <f>VLOOKUP(H203,Auxiliar!$B$16:$E$24,4,0)</f>
        <v>1</v>
      </c>
      <c r="P203" s="248">
        <f t="shared" ca="1" si="60"/>
        <v>1</v>
      </c>
      <c r="Q203" s="247">
        <f t="shared" ca="1" si="58"/>
        <v>0</v>
      </c>
      <c r="R203" s="379" t="s">
        <v>38</v>
      </c>
      <c r="S203" s="280" t="s">
        <v>1947</v>
      </c>
      <c r="T203" s="270">
        <v>4.0999999999999996</v>
      </c>
      <c r="U203" s="270">
        <f t="shared" si="61"/>
        <v>0.5</v>
      </c>
      <c r="V203" s="270">
        <f t="shared" si="62"/>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hidden="1" outlineLevel="1">
      <c r="A204" s="274" t="str">
        <f t="shared" si="59"/>
        <v>lt004_protectionmthd_usd_prtctn_scp_3</v>
      </c>
      <c r="B204" s="142" t="s">
        <v>26</v>
      </c>
      <c r="C204" s="138" t="s">
        <v>26</v>
      </c>
      <c r="D204" s="235" t="s">
        <v>40</v>
      </c>
      <c r="E204" s="238" t="s">
        <v>369</v>
      </c>
      <c r="F204" s="238"/>
      <c r="G204" s="238" t="s">
        <v>379</v>
      </c>
      <c r="H204" s="235" t="str">
        <f>VLOOKUP(A204,'2. Status Detalhe Campos'!$A$7:$G$574,7,0)</f>
        <v>1. Concluído</v>
      </c>
      <c r="I204" s="376">
        <v>45603</v>
      </c>
      <c r="J204" s="324">
        <v>45631</v>
      </c>
      <c r="K204" s="324">
        <v>45631</v>
      </c>
      <c r="L204" s="290">
        <f t="array" ref="L204">MIN(IF(W204:CI204&gt;0,$W$16:$CI$16))</f>
        <v>45649</v>
      </c>
      <c r="M204" s="291">
        <f t="array" ref="M204">MAX(IF(W204:CI204&gt;0,$W$16:$CI$16))</f>
        <v>45649</v>
      </c>
      <c r="N204" s="291"/>
      <c r="O204" s="248">
        <f>VLOOKUP(H204,Auxiliar!$B$16:$E$24,4,0)</f>
        <v>1</v>
      </c>
      <c r="P204" s="248">
        <f t="shared" ca="1" si="60"/>
        <v>1</v>
      </c>
      <c r="Q204" s="247">
        <f t="shared" ca="1" si="58"/>
        <v>0</v>
      </c>
      <c r="R204" s="379" t="s">
        <v>38</v>
      </c>
      <c r="S204" s="280" t="s">
        <v>1947</v>
      </c>
      <c r="T204" s="270">
        <v>4.0999999999999996</v>
      </c>
      <c r="U204" s="270">
        <f t="shared" si="61"/>
        <v>0.5</v>
      </c>
      <c r="V204" s="270">
        <f t="shared" si="62"/>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customHeight="1" collapsed="1">
      <c r="A205" s="274"/>
      <c r="B205" s="142" t="s">
        <v>26</v>
      </c>
      <c r="C205" s="138" t="s">
        <v>34</v>
      </c>
      <c r="D205" s="134"/>
      <c r="E205" s="239" t="s">
        <v>37</v>
      </c>
      <c r="F205" s="239" t="s">
        <v>1996</v>
      </c>
      <c r="G205" s="459">
        <f>COUNTA(G206:G217)</f>
        <v>12</v>
      </c>
      <c r="H205" s="294" t="s">
        <v>2075</v>
      </c>
      <c r="I205" s="276" t="s">
        <v>38</v>
      </c>
      <c r="J205" s="277">
        <f>MIN(J206:J217)</f>
        <v>45630</v>
      </c>
      <c r="K205" s="277">
        <f>MIN(K206:K217)</f>
        <v>45631</v>
      </c>
      <c r="L205" s="279">
        <f>MIN(L206:L217)</f>
        <v>45646</v>
      </c>
      <c r="M205" s="279">
        <f>MAX(M206:M217)</f>
        <v>45659</v>
      </c>
      <c r="N205" s="323" t="s">
        <v>1951</v>
      </c>
      <c r="O205" s="251">
        <f>SUMPRODUCT(O206:O217,U206:U217)/SUM(U206:U217)</f>
        <v>0.25</v>
      </c>
      <c r="P205" s="251">
        <v>0</v>
      </c>
      <c r="Q205" s="247">
        <f>O205-P205</f>
        <v>0.25</v>
      </c>
      <c r="R205" s="379" t="s">
        <v>2082</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hidden="1" customHeight="1" outlineLevel="1">
      <c r="A206" s="274" t="str">
        <f t="shared" ref="A206:A251" si="63">E206&amp;G206</f>
        <v>ENERGY_CERTIFICATE_EST_INPUTPROPERTY_BANK_ID</v>
      </c>
      <c r="B206" s="142" t="s">
        <v>26</v>
      </c>
      <c r="C206" s="138" t="s">
        <v>34</v>
      </c>
      <c r="D206" s="235" t="s">
        <v>40</v>
      </c>
      <c r="E206" s="236" t="s">
        <v>37</v>
      </c>
      <c r="F206" s="236"/>
      <c r="G206" s="235" t="s">
        <v>41</v>
      </c>
      <c r="H206" s="235" t="str">
        <f>VLOOKUP(A206,'2. Status Detalhe Campos'!$A$7:$G$574,7,0)</f>
        <v>4. Validação EF</v>
      </c>
      <c r="I206" s="276" t="s">
        <v>38</v>
      </c>
      <c r="J206" s="285">
        <v>45630</v>
      </c>
      <c r="K206" s="285">
        <v>45631</v>
      </c>
      <c r="L206" s="286">
        <f t="array" ref="L206">MIN(IF(W206:CI206&gt;0,$W$16:$CI$16))</f>
        <v>45646</v>
      </c>
      <c r="M206" s="287">
        <f t="array" ref="M206">MAX(IF(W206:CI206&gt;0,$W$16:$CI$16))</f>
        <v>45646</v>
      </c>
      <c r="N206" s="287"/>
      <c r="O206" s="248">
        <f>VLOOKUP(H206,Auxiliar!$B$16:$E$24,4,0)</f>
        <v>0.25</v>
      </c>
      <c r="P206" s="248">
        <f ca="1">IF(TODAY()&lt;=L206,0,MIN((TODAY()-L206)/(M206-L206+1),100%))</f>
        <v>1</v>
      </c>
      <c r="Q206" s="247">
        <f t="shared" ref="Q206:Q251" ca="1" si="64">O206-P206</f>
        <v>-0.75</v>
      </c>
      <c r="R206" s="380"/>
      <c r="S206" s="280"/>
      <c r="T206" s="270">
        <v>0.6</v>
      </c>
      <c r="U206" s="270">
        <f t="shared" ref="U206:U251" si="65">ROUND(T206/8,1)</f>
        <v>0.1</v>
      </c>
      <c r="V206" s="270">
        <f t="shared" ref="V206:V217" si="66">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63"/>
        <v>ENERGY_CERTIFICATE_EST_INPUTENCRYPTED_KEY</v>
      </c>
      <c r="B207" s="142" t="s">
        <v>26</v>
      </c>
      <c r="C207" s="138" t="s">
        <v>34</v>
      </c>
      <c r="D207" s="235" t="s">
        <v>40</v>
      </c>
      <c r="E207" s="236" t="s">
        <v>37</v>
      </c>
      <c r="F207" s="236"/>
      <c r="G207" s="235" t="s">
        <v>42</v>
      </c>
      <c r="H207" s="235" t="str">
        <f>VLOOKUP(A207,'2. Status Detalhe Campos'!$A$7:$G$574,7,0)</f>
        <v>4. Validação EF</v>
      </c>
      <c r="I207" s="276" t="s">
        <v>38</v>
      </c>
      <c r="J207" s="285">
        <v>45630</v>
      </c>
      <c r="K207" s="285">
        <v>45631</v>
      </c>
      <c r="L207" s="286">
        <f t="array" ref="L207">MIN(IF(W207:CI207&gt;0,$W$16:$CI$16))</f>
        <v>45646</v>
      </c>
      <c r="M207" s="287">
        <f t="array" ref="M207">MAX(IF(W207:CI207&gt;0,$W$16:$CI$16))</f>
        <v>45646</v>
      </c>
      <c r="N207" s="287"/>
      <c r="O207" s="248">
        <f>VLOOKUP(H207,Auxiliar!$B$16:$E$24,4,0)</f>
        <v>0.25</v>
      </c>
      <c r="P207" s="248">
        <f t="shared" ref="P207:P251" ca="1" si="67">IF(TODAY()&lt;=L207,0,MIN((TODAY()-L207)/(M207-L207+1),100%))</f>
        <v>1</v>
      </c>
      <c r="Q207" s="247">
        <f t="shared" ca="1" si="64"/>
        <v>-0.75</v>
      </c>
      <c r="R207" s="380"/>
      <c r="S207" s="280"/>
      <c r="T207" s="270">
        <v>0.6</v>
      </c>
      <c r="U207" s="270">
        <f t="shared" si="65"/>
        <v>0.1</v>
      </c>
      <c r="V207" s="270">
        <f t="shared" si="66"/>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63"/>
        <v>ENERGY_CERTIFICATE_EST_INPUTPROPERTY_BRANCH_CODE</v>
      </c>
      <c r="B208" s="142" t="s">
        <v>26</v>
      </c>
      <c r="C208" s="138" t="s">
        <v>34</v>
      </c>
      <c r="D208" s="235" t="s">
        <v>40</v>
      </c>
      <c r="E208" s="236" t="s">
        <v>37</v>
      </c>
      <c r="F208" s="236"/>
      <c r="G208" s="235" t="s">
        <v>43</v>
      </c>
      <c r="H208" s="235" t="str">
        <f>VLOOKUP(A208,'2. Status Detalhe Campos'!$A$7:$G$574,7,0)</f>
        <v>4. Validação EF</v>
      </c>
      <c r="I208" s="276" t="s">
        <v>38</v>
      </c>
      <c r="J208" s="285">
        <v>45630</v>
      </c>
      <c r="K208" s="285">
        <v>45631</v>
      </c>
      <c r="L208" s="286">
        <f t="array" ref="L208">MIN(IF(W208:CI208&gt;0,$W$16:$CI$16))</f>
        <v>45646</v>
      </c>
      <c r="M208" s="287">
        <f t="array" ref="M208">MAX(IF(W208:CI208&gt;0,$W$16:$CI$16))</f>
        <v>45646</v>
      </c>
      <c r="N208" s="287"/>
      <c r="O208" s="248">
        <f>VLOOKUP(H208,Auxiliar!$B$16:$E$24,4,0)</f>
        <v>0.25</v>
      </c>
      <c r="P208" s="248">
        <f t="shared" ca="1" si="67"/>
        <v>1</v>
      </c>
      <c r="Q208" s="247">
        <f t="shared" ca="1" si="64"/>
        <v>-0.75</v>
      </c>
      <c r="R208" s="380"/>
      <c r="S208" s="280"/>
      <c r="T208" s="270">
        <v>0.6</v>
      </c>
      <c r="U208" s="270">
        <f t="shared" si="65"/>
        <v>0.1</v>
      </c>
      <c r="V208" s="270">
        <f t="shared" si="66"/>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63"/>
        <v>ENERGY_CERTIFICATE_EST_INPUTPROPERTY_CONTRACT_ID</v>
      </c>
      <c r="B209" s="142" t="s">
        <v>26</v>
      </c>
      <c r="C209" s="138" t="s">
        <v>34</v>
      </c>
      <c r="D209" s="235" t="s">
        <v>40</v>
      </c>
      <c r="E209" s="236" t="s">
        <v>37</v>
      </c>
      <c r="F209" s="236"/>
      <c r="G209" s="235" t="s">
        <v>44</v>
      </c>
      <c r="H209" s="235" t="str">
        <f>VLOOKUP(A209,'2. Status Detalhe Campos'!$A$7:$G$574,7,0)</f>
        <v>4. Validação EF</v>
      </c>
      <c r="I209" s="276" t="s">
        <v>38</v>
      </c>
      <c r="J209" s="285">
        <v>45630</v>
      </c>
      <c r="K209" s="285">
        <v>45631</v>
      </c>
      <c r="L209" s="286">
        <f t="array" ref="L209">MIN(IF(W209:CI209&gt;0,$W$16:$CI$16))</f>
        <v>45646</v>
      </c>
      <c r="M209" s="287">
        <f t="array" ref="M209">MAX(IF(W209:CI209&gt;0,$W$16:$CI$16))</f>
        <v>45646</v>
      </c>
      <c r="N209" s="287"/>
      <c r="O209" s="248">
        <f>VLOOKUP(H209,Auxiliar!$B$16:$E$24,4,0)</f>
        <v>0.25</v>
      </c>
      <c r="P209" s="248">
        <f t="shared" ca="1" si="67"/>
        <v>1</v>
      </c>
      <c r="Q209" s="247">
        <f t="shared" ca="1" si="64"/>
        <v>-0.75</v>
      </c>
      <c r="R209" s="380"/>
      <c r="S209" s="280"/>
      <c r="T209" s="270">
        <v>0.6</v>
      </c>
      <c r="U209" s="270">
        <f t="shared" si="65"/>
        <v>0.1</v>
      </c>
      <c r="V209" s="270">
        <f t="shared" si="66"/>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63"/>
        <v>ENERGY_CERTIFICATE_EST_INPUTPROPERTY_REFERENCE_CODE</v>
      </c>
      <c r="B210" s="142" t="s">
        <v>26</v>
      </c>
      <c r="C210" s="138" t="s">
        <v>34</v>
      </c>
      <c r="D210" s="235" t="s">
        <v>40</v>
      </c>
      <c r="E210" s="236" t="s">
        <v>37</v>
      </c>
      <c r="F210" s="236"/>
      <c r="G210" s="235" t="s">
        <v>45</v>
      </c>
      <c r="H210" s="235" t="str">
        <f>VLOOKUP(A210,'2. Status Detalhe Campos'!$A$7:$G$574,7,0)</f>
        <v>4. Validação EF</v>
      </c>
      <c r="I210" s="276" t="s">
        <v>38</v>
      </c>
      <c r="J210" s="285">
        <v>45630</v>
      </c>
      <c r="K210" s="285">
        <v>45631</v>
      </c>
      <c r="L210" s="286">
        <f t="array" ref="L210">MIN(IF(W210:CI210&gt;0,$W$16:$CI$16))</f>
        <v>45646</v>
      </c>
      <c r="M210" s="287">
        <f t="array" ref="M210">MAX(IF(W210:CI210&gt;0,$W$16:$CI$16))</f>
        <v>45646</v>
      </c>
      <c r="N210" s="287"/>
      <c r="O210" s="248">
        <f>VLOOKUP(H210,Auxiliar!$B$16:$E$24,4,0)</f>
        <v>0.25</v>
      </c>
      <c r="P210" s="248">
        <f t="shared" ca="1" si="67"/>
        <v>1</v>
      </c>
      <c r="Q210" s="247">
        <f t="shared" ca="1" si="64"/>
        <v>-0.75</v>
      </c>
      <c r="R210" s="380"/>
      <c r="S210" s="280"/>
      <c r="T210" s="270">
        <v>0.6</v>
      </c>
      <c r="U210" s="270">
        <f t="shared" si="65"/>
        <v>0.1</v>
      </c>
      <c r="V210" s="270">
        <f t="shared" si="66"/>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63"/>
        <v>ENERGY_CERTIFICATE_EST_INPUTDATA_EXTRACTION_DATE</v>
      </c>
      <c r="B211" s="142" t="s">
        <v>26</v>
      </c>
      <c r="C211" s="138" t="s">
        <v>34</v>
      </c>
      <c r="D211" s="235" t="s">
        <v>40</v>
      </c>
      <c r="E211" s="236" t="s">
        <v>37</v>
      </c>
      <c r="F211" s="236"/>
      <c r="G211" s="235" t="s">
        <v>46</v>
      </c>
      <c r="H211" s="235" t="str">
        <f>VLOOKUP(A211,'2. Status Detalhe Campos'!$A$7:$G$574,7,0)</f>
        <v>4. Validação EF</v>
      </c>
      <c r="I211" s="276" t="s">
        <v>38</v>
      </c>
      <c r="J211" s="285">
        <v>45630</v>
      </c>
      <c r="K211" s="285">
        <v>45631</v>
      </c>
      <c r="L211" s="286">
        <f t="array" ref="L211">MIN(IF(W211:CI211&gt;0,$W$16:$CI$16))</f>
        <v>45646</v>
      </c>
      <c r="M211" s="287">
        <f t="array" ref="M211">MAX(IF(W211:CI211&gt;0,$W$16:$CI$16))</f>
        <v>45646</v>
      </c>
      <c r="N211" s="287"/>
      <c r="O211" s="248">
        <f>VLOOKUP(H211,Auxiliar!$B$16:$E$24,4,0)</f>
        <v>0.25</v>
      </c>
      <c r="P211" s="248">
        <f t="shared" ca="1" si="67"/>
        <v>1</v>
      </c>
      <c r="Q211" s="247">
        <f t="shared" ca="1" si="64"/>
        <v>-0.75</v>
      </c>
      <c r="R211" s="380"/>
      <c r="S211" s="280"/>
      <c r="T211" s="270">
        <v>0.6</v>
      </c>
      <c r="U211" s="270">
        <f t="shared" si="65"/>
        <v>0.1</v>
      </c>
      <c r="V211" s="270">
        <f t="shared" si="66"/>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63"/>
        <v>ENERGY_CERTIFICATE_EST_INPUTEPC</v>
      </c>
      <c r="B212" s="142" t="s">
        <v>26</v>
      </c>
      <c r="C212" s="138" t="s">
        <v>34</v>
      </c>
      <c r="D212" s="235" t="s">
        <v>40</v>
      </c>
      <c r="E212" s="236" t="s">
        <v>37</v>
      </c>
      <c r="F212" s="236"/>
      <c r="G212" s="235" t="s">
        <v>47</v>
      </c>
      <c r="H212" s="235" t="str">
        <f>VLOOKUP(A212,'2. Status Detalhe Campos'!$A$7:$G$574,7,0)</f>
        <v>4. Validação EF</v>
      </c>
      <c r="I212" s="276" t="s">
        <v>38</v>
      </c>
      <c r="J212" s="285">
        <v>45630</v>
      </c>
      <c r="K212" s="285">
        <v>45631</v>
      </c>
      <c r="L212" s="286">
        <f t="array" ref="L212">MIN(IF(W212:CI212&gt;0,$W$16:$CI$16))</f>
        <v>45646</v>
      </c>
      <c r="M212" s="287">
        <f t="array" ref="M212">MAX(IF(W212:CI212&gt;0,$W$16:$CI$16))</f>
        <v>45646</v>
      </c>
      <c r="N212" s="287"/>
      <c r="O212" s="248">
        <f>VLOOKUP(H212,Auxiliar!$B$16:$E$24,4,0)</f>
        <v>0.25</v>
      </c>
      <c r="P212" s="248">
        <f t="shared" ca="1" si="67"/>
        <v>1</v>
      </c>
      <c r="Q212" s="247">
        <f t="shared" ca="1" si="64"/>
        <v>-0.75</v>
      </c>
      <c r="R212" s="380"/>
      <c r="S212" s="280"/>
      <c r="T212" s="270">
        <v>0.6</v>
      </c>
      <c r="U212" s="270">
        <f t="shared" si="65"/>
        <v>0.1</v>
      </c>
      <c r="V212" s="270">
        <f t="shared" si="66"/>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63"/>
        <v>ENERGY_CERTIFICATE_EST_INPUTDATA_PROVIDER</v>
      </c>
      <c r="B213" s="142" t="s">
        <v>26</v>
      </c>
      <c r="C213" s="138" t="s">
        <v>34</v>
      </c>
      <c r="D213" s="235" t="s">
        <v>40</v>
      </c>
      <c r="E213" s="236" t="s">
        <v>37</v>
      </c>
      <c r="F213" s="236"/>
      <c r="G213" s="235" t="s">
        <v>48</v>
      </c>
      <c r="H213" s="235" t="str">
        <f>VLOOKUP(A213,'2. Status Detalhe Campos'!$A$7:$G$574,7,0)</f>
        <v>4. Validação EF</v>
      </c>
      <c r="I213" s="276" t="s">
        <v>38</v>
      </c>
      <c r="J213" s="285">
        <v>45630</v>
      </c>
      <c r="K213" s="285">
        <v>45631</v>
      </c>
      <c r="L213" s="286">
        <f t="array" ref="L213">MIN(IF(W213:CI213&gt;0,$W$16:$CI$16))</f>
        <v>45646</v>
      </c>
      <c r="M213" s="287">
        <f t="array" ref="M213">MAX(IF(W213:CI213&gt;0,$W$16:$CI$16))</f>
        <v>45646</v>
      </c>
      <c r="N213" s="287"/>
      <c r="O213" s="248">
        <f>VLOOKUP(H213,Auxiliar!$B$16:$E$24,4,0)</f>
        <v>0.25</v>
      </c>
      <c r="P213" s="248">
        <f t="shared" ca="1" si="67"/>
        <v>1</v>
      </c>
      <c r="Q213" s="247">
        <f t="shared" ca="1" si="64"/>
        <v>-0.75</v>
      </c>
      <c r="R213" s="380"/>
      <c r="S213" s="280"/>
      <c r="T213" s="270">
        <v>0.6</v>
      </c>
      <c r="U213" s="270">
        <f t="shared" si="65"/>
        <v>0.1</v>
      </c>
      <c r="V213" s="270">
        <f t="shared" si="66"/>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63"/>
        <v>ENERGY_CERTIFICATE_EST_INPUTACTUAL_VALUE_IND</v>
      </c>
      <c r="B214" s="142" t="s">
        <v>26</v>
      </c>
      <c r="C214" s="138" t="s">
        <v>34</v>
      </c>
      <c r="D214" s="235" t="s">
        <v>40</v>
      </c>
      <c r="E214" s="236" t="s">
        <v>37</v>
      </c>
      <c r="F214" s="236"/>
      <c r="G214" s="235" t="s">
        <v>49</v>
      </c>
      <c r="H214" s="235" t="str">
        <f>VLOOKUP(A214,'2. Status Detalhe Campos'!$A$7:$G$574,7,0)</f>
        <v>4. Validação EF</v>
      </c>
      <c r="I214" s="276" t="s">
        <v>38</v>
      </c>
      <c r="J214" s="285">
        <v>45630</v>
      </c>
      <c r="K214" s="285">
        <v>45631</v>
      </c>
      <c r="L214" s="286">
        <f t="array" ref="L214">MIN(IF(W214:CI214&gt;0,$W$16:$CI$16))</f>
        <v>45646</v>
      </c>
      <c r="M214" s="287">
        <f t="array" ref="M214">MAX(IF(W214:CI214&gt;0,$W$16:$CI$16))</f>
        <v>45646</v>
      </c>
      <c r="N214" s="287"/>
      <c r="O214" s="248">
        <f>VLOOKUP(H214,Auxiliar!$B$16:$E$24,4,0)</f>
        <v>0.25</v>
      </c>
      <c r="P214" s="248">
        <f t="shared" ca="1" si="67"/>
        <v>1</v>
      </c>
      <c r="Q214" s="247">
        <f t="shared" ca="1" si="64"/>
        <v>-0.75</v>
      </c>
      <c r="R214" s="380"/>
      <c r="S214" s="280"/>
      <c r="T214" s="270">
        <v>0.6</v>
      </c>
      <c r="U214" s="270">
        <f t="shared" si="65"/>
        <v>0.1</v>
      </c>
      <c r="V214" s="270">
        <f t="shared" si="66"/>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hidden="1" customHeight="1" outlineLevel="1">
      <c r="A215" s="274" t="str">
        <f t="shared" si="63"/>
        <v>ENERGY_CERTIFICATE_EST_INPUTQUALITY_SCORE</v>
      </c>
      <c r="B215" s="142" t="s">
        <v>26</v>
      </c>
      <c r="C215" s="138" t="s">
        <v>34</v>
      </c>
      <c r="D215" s="235" t="s">
        <v>40</v>
      </c>
      <c r="E215" s="236" t="s">
        <v>37</v>
      </c>
      <c r="F215" s="236"/>
      <c r="G215" s="235" t="s">
        <v>50</v>
      </c>
      <c r="H215" s="235" t="str">
        <f>VLOOKUP(A215,'2. Status Detalhe Campos'!$A$7:$G$574,7,0)</f>
        <v>4. Validação EF</v>
      </c>
      <c r="I215" s="276" t="s">
        <v>38</v>
      </c>
      <c r="J215" s="285">
        <v>45630</v>
      </c>
      <c r="K215" s="285">
        <v>45631</v>
      </c>
      <c r="L215" s="286">
        <f t="array" ref="L215">MIN(IF(W215:CI215&gt;0,$W$16:$CI$16))</f>
        <v>45646</v>
      </c>
      <c r="M215" s="287">
        <f t="array" ref="M215">MAX(IF(W215:CI215&gt;0,$W$16:$CI$16))</f>
        <v>45646</v>
      </c>
      <c r="N215" s="287"/>
      <c r="O215" s="248">
        <f>VLOOKUP(H215,Auxiliar!$B$16:$E$24,4,0)</f>
        <v>0.25</v>
      </c>
      <c r="P215" s="248">
        <f t="shared" ca="1" si="67"/>
        <v>1</v>
      </c>
      <c r="Q215" s="247">
        <f t="shared" ca="1" si="64"/>
        <v>-0.75</v>
      </c>
      <c r="R215" s="380"/>
      <c r="S215" s="280"/>
      <c r="T215" s="270">
        <v>0.6</v>
      </c>
      <c r="U215" s="270">
        <f t="shared" si="65"/>
        <v>0.1</v>
      </c>
      <c r="V215" s="270">
        <f t="shared" si="66"/>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hidden="1" customHeight="1" outlineLevel="1">
      <c r="A216" s="274" t="str">
        <f t="shared" si="63"/>
        <v>ENERGY_CERTIFICATE_EST_INPUTENERGY_CONSUMPTION_VALUE_YEAR</v>
      </c>
      <c r="B216" s="142" t="s">
        <v>26</v>
      </c>
      <c r="C216" s="138" t="s">
        <v>34</v>
      </c>
      <c r="D216" s="235" t="s">
        <v>40</v>
      </c>
      <c r="E216" s="236" t="s">
        <v>37</v>
      </c>
      <c r="F216" s="236"/>
      <c r="G216" s="235" t="s">
        <v>51</v>
      </c>
      <c r="H216" s="235" t="str">
        <f>VLOOKUP(A216,'2. Status Detalhe Campos'!$A$7:$G$574,7,0)</f>
        <v>4. Validação EF</v>
      </c>
      <c r="I216" s="276" t="s">
        <v>38</v>
      </c>
      <c r="J216" s="285">
        <v>45630</v>
      </c>
      <c r="K216" s="285">
        <v>45631</v>
      </c>
      <c r="L216" s="286">
        <f t="array" ref="L216">MIN(IF(W216:CI216&gt;0,$W$16:$CI$16))</f>
        <v>45659</v>
      </c>
      <c r="M216" s="287">
        <f t="array" ref="M216">MAX(IF(W216:CI216&gt;0,$W$16:$CI$16))</f>
        <v>45659</v>
      </c>
      <c r="N216" s="287"/>
      <c r="O216" s="248">
        <f>VLOOKUP(H216,Auxiliar!$B$16:$E$24,4,0)</f>
        <v>0.25</v>
      </c>
      <c r="P216" s="248">
        <f t="shared" ca="1" si="67"/>
        <v>1</v>
      </c>
      <c r="Q216" s="247">
        <f t="shared" ca="1" si="64"/>
        <v>-0.75</v>
      </c>
      <c r="R216" s="380"/>
      <c r="S216" s="280"/>
      <c r="T216" s="270">
        <v>0.6</v>
      </c>
      <c r="U216" s="270">
        <f t="shared" si="65"/>
        <v>0.1</v>
      </c>
      <c r="V216" s="270">
        <f t="shared" si="66"/>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hidden="1" customHeight="1" outlineLevel="1">
      <c r="A217" s="274" t="str">
        <f t="shared" si="63"/>
        <v>ENERGY_CERTIFICATE_EST_INPUTCARBON_EMISSION_VALUE_YEAR</v>
      </c>
      <c r="B217" s="142" t="s">
        <v>26</v>
      </c>
      <c r="C217" s="138" t="s">
        <v>34</v>
      </c>
      <c r="D217" s="235" t="s">
        <v>40</v>
      </c>
      <c r="E217" s="236" t="s">
        <v>37</v>
      </c>
      <c r="F217" s="236"/>
      <c r="G217" s="235" t="s">
        <v>52</v>
      </c>
      <c r="H217" s="235" t="str">
        <f>VLOOKUP(A217,'2. Status Detalhe Campos'!$A$7:$G$574,7,0)</f>
        <v>4. Validação EF</v>
      </c>
      <c r="I217" s="276" t="s">
        <v>38</v>
      </c>
      <c r="J217" s="285">
        <v>45630</v>
      </c>
      <c r="K217" s="285">
        <v>45631</v>
      </c>
      <c r="L217" s="286">
        <f t="array" ref="L217">MIN(IF(W217:CI217&gt;0,$W$16:$CI$16))</f>
        <v>45659</v>
      </c>
      <c r="M217" s="287">
        <f t="array" ref="M217">MAX(IF(W217:CI217&gt;0,$W$16:$CI$16))</f>
        <v>45659</v>
      </c>
      <c r="N217" s="287"/>
      <c r="O217" s="248">
        <f>VLOOKUP(H217,Auxiliar!$B$16:$E$24,4,0)</f>
        <v>0.25</v>
      </c>
      <c r="P217" s="248">
        <f t="shared" ca="1" si="67"/>
        <v>1</v>
      </c>
      <c r="Q217" s="247">
        <f t="shared" ca="1" si="64"/>
        <v>-0.75</v>
      </c>
      <c r="R217" s="380"/>
      <c r="S217" s="280"/>
      <c r="T217" s="270">
        <v>0.6</v>
      </c>
      <c r="U217" s="270">
        <f t="shared" si="65"/>
        <v>0.1</v>
      </c>
      <c r="V217" s="270">
        <f t="shared" si="66"/>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customHeight="1" collapsed="1">
      <c r="A218" s="274"/>
      <c r="B218" s="142" t="s">
        <v>26</v>
      </c>
      <c r="C218" s="138" t="s">
        <v>54</v>
      </c>
      <c r="D218" s="134"/>
      <c r="E218" s="241" t="s">
        <v>94</v>
      </c>
      <c r="F218" s="239" t="s">
        <v>1972</v>
      </c>
      <c r="G218" s="255">
        <v>1</v>
      </c>
      <c r="H218" s="295" t="s">
        <v>2005</v>
      </c>
      <c r="I218" s="278">
        <v>45604</v>
      </c>
      <c r="J218" s="278">
        <v>45645</v>
      </c>
      <c r="K218" s="278">
        <v>45645</v>
      </c>
      <c r="L218" s="279"/>
      <c r="M218" s="310"/>
      <c r="N218" s="323">
        <f t="array" ref="N218">MAX(IF(W218:CI218&gt;0,$W$16:$CI$16))</f>
        <v>45667</v>
      </c>
      <c r="O218" s="322">
        <v>1</v>
      </c>
      <c r="P218" s="322">
        <v>1</v>
      </c>
      <c r="Q218" s="247">
        <f>O218-P218</f>
        <v>0</v>
      </c>
      <c r="R218" s="373" t="s">
        <v>2071</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customHeight="1">
      <c r="A219" s="274"/>
      <c r="B219" s="142" t="s">
        <v>26</v>
      </c>
      <c r="C219" s="138" t="s">
        <v>34</v>
      </c>
      <c r="D219" s="134"/>
      <c r="E219" s="241" t="s">
        <v>2007</v>
      </c>
      <c r="F219" s="239" t="s">
        <v>2046</v>
      </c>
      <c r="G219" s="460" t="s">
        <v>1951</v>
      </c>
      <c r="H219" s="275" t="s">
        <v>2009</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9" t="s">
        <v>2006</v>
      </c>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customHeight="1">
      <c r="A220" s="274"/>
      <c r="B220" s="142" t="s">
        <v>26</v>
      </c>
      <c r="C220" s="138" t="s">
        <v>311</v>
      </c>
      <c r="D220" s="134"/>
      <c r="E220" s="378" t="s">
        <v>312</v>
      </c>
      <c r="F220" s="239" t="s">
        <v>1993</v>
      </c>
      <c r="G220" s="461">
        <f>COUNTA(G221:G224)</f>
        <v>4</v>
      </c>
      <c r="H220" s="458" t="s">
        <v>573</v>
      </c>
      <c r="I220" s="276" t="s">
        <v>38</v>
      </c>
      <c r="J220" s="277">
        <f>MIN(J221:J224)</f>
        <v>45631</v>
      </c>
      <c r="K220" s="277">
        <f>MIN(K221:K224)</f>
        <v>45631</v>
      </c>
      <c r="L220" s="277">
        <f>MIN(L221:L224)</f>
        <v>45663</v>
      </c>
      <c r="M220" s="278">
        <f>MAX(M221:M224)</f>
        <v>45664</v>
      </c>
      <c r="N220" s="323" t="s">
        <v>1951</v>
      </c>
      <c r="O220" s="314">
        <f>SUMPRODUCT(O221:O224,U221:U224)/SUM(U221:U224)</f>
        <v>0</v>
      </c>
      <c r="P220" s="314">
        <f ca="1">SUMPRODUCT(P221:P224,U221:U224)/SUM(U221:U224)</f>
        <v>1</v>
      </c>
      <c r="Q220" s="247">
        <f t="shared" ref="Q220:Q225" ca="1" si="68">O220-P220</f>
        <v>-1</v>
      </c>
      <c r="R220" s="379" t="s">
        <v>2072</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ref="A221:A228" si="69">E221&amp;G221</f>
        <v>modesg_out_bens_imoveisflg_rsc_fsc_agd</v>
      </c>
      <c r="B221" s="142" t="s">
        <v>26</v>
      </c>
      <c r="C221" s="138" t="s">
        <v>311</v>
      </c>
      <c r="D221" s="235" t="s">
        <v>40</v>
      </c>
      <c r="E221" s="236" t="s">
        <v>312</v>
      </c>
      <c r="F221" s="236"/>
      <c r="G221" s="332" t="s">
        <v>283</v>
      </c>
      <c r="H221" s="235" t="str">
        <f>VLOOKUP(A221,'2. Status Detalhe Campos'!$A$7:$G$574,7,0)</f>
        <v>2.2 Em Re-especificação</v>
      </c>
      <c r="I221" s="276" t="s">
        <v>38</v>
      </c>
      <c r="J221" s="285">
        <v>45631</v>
      </c>
      <c r="K221" s="285">
        <v>45631</v>
      </c>
      <c r="L221" s="290">
        <f t="array" ref="L221">MIN(IF(W221:CI221&gt;0,$W$16:$CI$16))</f>
        <v>45663</v>
      </c>
      <c r="M221" s="291">
        <f t="array" ref="M221">MAX(IF(W221:CI221&gt;0,$W$16:$CI$16))</f>
        <v>45663</v>
      </c>
      <c r="N221" s="291"/>
      <c r="O221" s="248">
        <f>VLOOKUP(H221,Auxiliar!$B$16:$E$24,4,0)</f>
        <v>0</v>
      </c>
      <c r="P221" s="248">
        <f ca="1">IF(TODAY()&lt;=L221,0,MIN((TODAY()-L221)/(M221-L221+1),100%))</f>
        <v>1</v>
      </c>
      <c r="Q221" s="247">
        <f t="shared" ca="1" si="68"/>
        <v>-1</v>
      </c>
      <c r="R221" s="379"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hidden="1" outlineLevel="1">
      <c r="A222" s="274" t="str">
        <f t="shared" si="69"/>
        <v>modesg_out_bens_imoveisflg_rsc_fsc_crnc</v>
      </c>
      <c r="B222" s="142" t="s">
        <v>26</v>
      </c>
      <c r="C222" s="138" t="s">
        <v>311</v>
      </c>
      <c r="D222" s="235" t="s">
        <v>40</v>
      </c>
      <c r="E222" s="236" t="s">
        <v>312</v>
      </c>
      <c r="F222" s="236"/>
      <c r="G222" s="332" t="s">
        <v>284</v>
      </c>
      <c r="H222" s="235" t="str">
        <f>VLOOKUP(A222,'2. Status Detalhe Campos'!$A$7:$G$574,7,0)</f>
        <v>2.2 Em Re-especificação</v>
      </c>
      <c r="I222" s="276" t="s">
        <v>38</v>
      </c>
      <c r="J222" s="285">
        <v>45631</v>
      </c>
      <c r="K222" s="285">
        <v>45631</v>
      </c>
      <c r="L222" s="290">
        <f t="array" ref="L222">MIN(IF(W222:CI222&gt;0,$W$16:$CI$16))</f>
        <v>45663</v>
      </c>
      <c r="M222" s="291">
        <f t="array" ref="M222">MAX(IF(W222:CI222&gt;0,$W$16:$CI$16))</f>
        <v>45664</v>
      </c>
      <c r="N222" s="291"/>
      <c r="O222" s="248">
        <f>VLOOKUP(H222,Auxiliar!$B$16:$E$24,4,0)</f>
        <v>0</v>
      </c>
      <c r="P222" s="248">
        <f ca="1">IF(TODAY()&lt;=L222,0,MIN((TODAY()-L222)/(M222-L222+1),100%))</f>
        <v>1</v>
      </c>
      <c r="Q222" s="247">
        <f t="shared" ca="1" si="68"/>
        <v>-1</v>
      </c>
      <c r="R222" s="379"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hidden="1" outlineLevel="1">
      <c r="A223" s="274" t="str">
        <f t="shared" si="69"/>
        <v>modesg_out_bens_imoveisorigem_flg_rsc_fsc_agd</v>
      </c>
      <c r="B223" s="142" t="s">
        <v>26</v>
      </c>
      <c r="C223" s="138" t="s">
        <v>311</v>
      </c>
      <c r="D223" s="235" t="s">
        <v>40</v>
      </c>
      <c r="E223" s="236" t="s">
        <v>312</v>
      </c>
      <c r="F223" s="236"/>
      <c r="G223" s="332" t="s">
        <v>318</v>
      </c>
      <c r="H223" s="235" t="str">
        <f>VLOOKUP(A223,'2. Status Detalhe Campos'!$A$7:$G$574,7,0)</f>
        <v>2.2 Em Re-especificação</v>
      </c>
      <c r="I223" s="276" t="s">
        <v>38</v>
      </c>
      <c r="J223" s="285">
        <v>45631</v>
      </c>
      <c r="K223" s="285">
        <v>45631</v>
      </c>
      <c r="L223" s="290">
        <f t="array" ref="L223">MIN(IF(W223:CI223&gt;0,$W$16:$CI$16))</f>
        <v>45664</v>
      </c>
      <c r="M223" s="291">
        <f t="array" ref="M223">MAX(IF(W223:CI223&gt;0,$W$16:$CI$16))</f>
        <v>45664</v>
      </c>
      <c r="N223" s="291"/>
      <c r="O223" s="248">
        <f>VLOOKUP(H223,Auxiliar!$B$16:$E$24,4,0)</f>
        <v>0</v>
      </c>
      <c r="P223" s="248">
        <f ca="1">IF(TODAY()&lt;=L223,0,MIN((TODAY()-L223)/(M223-L223+1),100%))</f>
        <v>1</v>
      </c>
      <c r="Q223" s="247">
        <f t="shared" ca="1" si="68"/>
        <v>-1</v>
      </c>
      <c r="R223" s="379"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hidden="1" outlineLevel="1">
      <c r="A224" s="274" t="str">
        <f t="shared" si="69"/>
        <v>modesg_out_bens_imoveisorigem_flg_rsc_fsc_crnc</v>
      </c>
      <c r="B224" s="142" t="s">
        <v>26</v>
      </c>
      <c r="C224" s="138" t="s">
        <v>311</v>
      </c>
      <c r="D224" s="235" t="s">
        <v>40</v>
      </c>
      <c r="E224" s="236" t="s">
        <v>312</v>
      </c>
      <c r="F224" s="236"/>
      <c r="G224" s="332" t="s">
        <v>319</v>
      </c>
      <c r="H224" s="235" t="str">
        <f>VLOOKUP(A224,'2. Status Detalhe Campos'!$A$7:$G$574,7,0)</f>
        <v>2.2 Em Re-especificação</v>
      </c>
      <c r="I224" s="276" t="s">
        <v>38</v>
      </c>
      <c r="J224" s="285">
        <v>45631</v>
      </c>
      <c r="K224" s="285">
        <v>45631</v>
      </c>
      <c r="L224" s="290">
        <f t="array" ref="L224">MIN(IF(W224:CI224&gt;0,$W$16:$CI$16))</f>
        <v>45664</v>
      </c>
      <c r="M224" s="291">
        <f t="array" ref="M224">MAX(IF(W224:CI224&gt;0,$W$16:$CI$16))</f>
        <v>45664</v>
      </c>
      <c r="N224" s="291"/>
      <c r="O224" s="248">
        <f>VLOOKUP(H224,Auxiliar!$B$16:$E$24,4,0)</f>
        <v>0</v>
      </c>
      <c r="P224" s="248">
        <f ca="1">IF(TODAY()&lt;=L224,0,MIN((TODAY()-L224)/(M224-L224+1),100%))</f>
        <v>1</v>
      </c>
      <c r="Q224" s="247">
        <f t="shared" ca="1" si="68"/>
        <v>-1</v>
      </c>
      <c r="R224" s="379"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69"/>
        <v>lt002_instrument3</v>
      </c>
      <c r="B225" s="142" t="s">
        <v>26</v>
      </c>
      <c r="C225" s="138" t="s">
        <v>26</v>
      </c>
      <c r="D225" s="235"/>
      <c r="E225" s="374" t="s">
        <v>380</v>
      </c>
      <c r="F225" s="241" t="s">
        <v>1995</v>
      </c>
      <c r="G225" s="255">
        <v>3</v>
      </c>
      <c r="H225" s="298" t="s">
        <v>2010</v>
      </c>
      <c r="I225" s="276" t="s">
        <v>38</v>
      </c>
      <c r="J225" s="277">
        <f>MIN(J226:J228)</f>
        <v>45631</v>
      </c>
      <c r="K225" s="277">
        <f>MIN(K226:K228)</f>
        <v>45631</v>
      </c>
      <c r="L225" s="277">
        <f>MIN(L226)</f>
        <v>45664</v>
      </c>
      <c r="M225" s="278">
        <f>MAX(M226)</f>
        <v>45664</v>
      </c>
      <c r="N225" s="323">
        <f t="array" ref="N225">MAX(IF(W225:CI225&gt;0,$W$16:$CI$16))</f>
        <v>45674</v>
      </c>
      <c r="O225" s="250">
        <f>SUMPRODUCT(O226:O228,U226:U228)/SUM(U226:U228)</f>
        <v>0.25</v>
      </c>
      <c r="P225" s="250">
        <v>0.25</v>
      </c>
      <c r="Q225" s="247">
        <f t="shared" si="68"/>
        <v>0</v>
      </c>
      <c r="R225" s="379"/>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t="s">
        <v>444</v>
      </c>
      <c r="CH225" s="281"/>
      <c r="CI225" s="281"/>
    </row>
    <row r="226" spans="1:87" ht="16.2" hidden="1" outlineLevel="1">
      <c r="A226" s="274" t="str">
        <f t="shared" si="69"/>
        <v>lt002_instrumentgrss_intrst_incm</v>
      </c>
      <c r="B226" s="142" t="s">
        <v>26</v>
      </c>
      <c r="C226" s="138" t="s">
        <v>26</v>
      </c>
      <c r="D226" s="235"/>
      <c r="E226" s="238" t="s">
        <v>380</v>
      </c>
      <c r="F226" s="238"/>
      <c r="G226" s="333" t="s">
        <v>421</v>
      </c>
      <c r="H226" s="235" t="str">
        <f>VLOOKUP(A226,'2. Status Detalhe Campos'!$A$7:$G$574,7,0)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80"/>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hidden="1" outlineLevel="1">
      <c r="A227" s="274" t="str">
        <f t="shared" si="69"/>
        <v>lt002_instrumentgrss_cmmssn_incm</v>
      </c>
      <c r="B227" s="142" t="s">
        <v>26</v>
      </c>
      <c r="C227" s="138" t="s">
        <v>26</v>
      </c>
      <c r="D227" s="235"/>
      <c r="E227" s="238" t="s">
        <v>380</v>
      </c>
      <c r="F227" s="238"/>
      <c r="G227" s="333" t="s">
        <v>422</v>
      </c>
      <c r="H227" s="235" t="str">
        <f>VLOOKUP(A227,'2. Status Detalhe Campos'!$A$7:$G$574,7,0)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80"/>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hidden="1" outlineLevel="1">
      <c r="A228" s="274" t="str">
        <f t="shared" si="69"/>
        <v>lt002_instrumentgrss_cmmssn_incm_off_blnc</v>
      </c>
      <c r="B228" s="142" t="s">
        <v>26</v>
      </c>
      <c r="C228" s="138" t="s">
        <v>26</v>
      </c>
      <c r="D228" s="235"/>
      <c r="E228" s="238" t="s">
        <v>380</v>
      </c>
      <c r="F228" s="238"/>
      <c r="G228" s="333" t="s">
        <v>423</v>
      </c>
      <c r="H228" s="235" t="str">
        <f>VLOOKUP(A228,'2. Status Detalhe Campos'!$A$7:$G$574,7,0)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80"/>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customHeight="1" collapsed="1">
      <c r="A229" s="274"/>
      <c r="B229" s="142" t="s">
        <v>26</v>
      </c>
      <c r="C229" s="138" t="s">
        <v>54</v>
      </c>
      <c r="D229" s="134"/>
      <c r="E229" s="239" t="s">
        <v>123</v>
      </c>
      <c r="F229" s="239" t="s">
        <v>1996</v>
      </c>
      <c r="G229" s="331">
        <f>COUNTA(G230:G251)</f>
        <v>22</v>
      </c>
      <c r="H229" s="295" t="s">
        <v>2005</v>
      </c>
      <c r="I229" s="276" t="s">
        <v>38</v>
      </c>
      <c r="J229" s="277">
        <f>MIN(J230:J251)</f>
        <v>45638</v>
      </c>
      <c r="K229" s="277">
        <f>MIN(K230:K251)</f>
        <v>45639</v>
      </c>
      <c r="L229" s="279">
        <f>MIN(L230:L251)</f>
        <v>45639</v>
      </c>
      <c r="M229" s="279">
        <f>MAX(M230:M251)</f>
        <v>45639</v>
      </c>
      <c r="N229" s="323">
        <f t="array" ref="N229">MAX(IF(W229:CI229&gt;0,$W$16:$CI$16))</f>
        <v>45639</v>
      </c>
      <c r="O229" s="322">
        <f>SUMPRODUCT(O230:O251,U230:U251)/SUM(U230:U251)</f>
        <v>1</v>
      </c>
      <c r="P229" s="322">
        <f ca="1">SUMPRODUCT(P230:P251,U230:U251)/SUM(U230:U251)</f>
        <v>1</v>
      </c>
      <c r="Q229" s="247">
        <f t="shared" ca="1" si="64"/>
        <v>0</v>
      </c>
      <c r="R229" s="373" t="s">
        <v>2047</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63"/>
        <v>PROPERTY_ENERGY_CERTIFICATELAND_REGISTRY_OFFICE_CODE</v>
      </c>
      <c r="B230" s="142" t="s">
        <v>26</v>
      </c>
      <c r="C230" s="138" t="s">
        <v>54</v>
      </c>
      <c r="D230" s="235" t="s">
        <v>40</v>
      </c>
      <c r="E230" s="236" t="s">
        <v>123</v>
      </c>
      <c r="F230" s="236"/>
      <c r="G230" s="332" t="s">
        <v>125</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7"/>
        <v>1</v>
      </c>
      <c r="Q230" s="247">
        <f t="shared" ca="1" si="64"/>
        <v>0</v>
      </c>
      <c r="R230" s="380"/>
      <c r="S230" s="292" t="s">
        <v>1944</v>
      </c>
      <c r="T230" s="270">
        <v>4.0999999999999996</v>
      </c>
      <c r="U230" s="270">
        <f t="shared" si="65"/>
        <v>0.5</v>
      </c>
      <c r="V230" s="270">
        <f t="shared" ref="V230:V251" si="70">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63"/>
        <v>PROPERTY_ENERGY_CERTIFICATEPROPERTY_IDENTIFICATION_CODE</v>
      </c>
      <c r="B231" s="142" t="s">
        <v>26</v>
      </c>
      <c r="C231" s="138" t="s">
        <v>54</v>
      </c>
      <c r="D231" s="235" t="s">
        <v>40</v>
      </c>
      <c r="E231" s="236" t="s">
        <v>123</v>
      </c>
      <c r="F231" s="236"/>
      <c r="G231" s="332" t="s">
        <v>126</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7"/>
        <v>1</v>
      </c>
      <c r="Q231" s="247">
        <f t="shared" ca="1" si="64"/>
        <v>0</v>
      </c>
      <c r="R231" s="380"/>
      <c r="S231" s="292" t="s">
        <v>1944</v>
      </c>
      <c r="T231" s="270">
        <v>4.0999999999999996</v>
      </c>
      <c r="U231" s="270">
        <f t="shared" si="65"/>
        <v>0.5</v>
      </c>
      <c r="V231" s="270">
        <f t="shared" si="70"/>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63"/>
        <v>PROPERTY_ENERGY_CERTIFICATEENERGY_CERTIFICATION_SYSTEM_CODE</v>
      </c>
      <c r="B232" s="142" t="s">
        <v>26</v>
      </c>
      <c r="C232" s="138" t="s">
        <v>54</v>
      </c>
      <c r="D232" s="235" t="s">
        <v>40</v>
      </c>
      <c r="E232" s="236" t="s">
        <v>123</v>
      </c>
      <c r="F232" s="236"/>
      <c r="G232" s="332" t="s">
        <v>127</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7"/>
        <v>1</v>
      </c>
      <c r="Q232" s="247">
        <f t="shared" ca="1" si="64"/>
        <v>0</v>
      </c>
      <c r="R232" s="380"/>
      <c r="S232" s="292" t="s">
        <v>1944</v>
      </c>
      <c r="T232" s="270">
        <v>4.0999999999999996</v>
      </c>
      <c r="U232" s="270">
        <f t="shared" si="65"/>
        <v>0.5</v>
      </c>
      <c r="V232" s="270">
        <f t="shared" si="70"/>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63"/>
        <v>PROPERTY_ENERGY_CERTIFICATEEPC_ISSUING_DATE</v>
      </c>
      <c r="B233" s="142" t="s">
        <v>26</v>
      </c>
      <c r="C233" s="138" t="s">
        <v>54</v>
      </c>
      <c r="D233" s="235" t="s">
        <v>40</v>
      </c>
      <c r="E233" s="236" t="s">
        <v>123</v>
      </c>
      <c r="F233" s="236"/>
      <c r="G233" s="332" t="s">
        <v>128</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7"/>
        <v>1</v>
      </c>
      <c r="Q233" s="247">
        <f t="shared" ca="1" si="64"/>
        <v>0</v>
      </c>
      <c r="R233" s="380"/>
      <c r="S233" s="292" t="s">
        <v>1944</v>
      </c>
      <c r="T233" s="270">
        <v>4.0999999999999996</v>
      </c>
      <c r="U233" s="270">
        <f t="shared" si="65"/>
        <v>0.5</v>
      </c>
      <c r="V233" s="270">
        <f t="shared" si="70"/>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63"/>
        <v>PROPERTY_ENERGY_CERTIFICATEEPC_EXPIRATION_DATE</v>
      </c>
      <c r="B234" s="142" t="s">
        <v>26</v>
      </c>
      <c r="C234" s="138" t="s">
        <v>54</v>
      </c>
      <c r="D234" s="235" t="s">
        <v>40</v>
      </c>
      <c r="E234" s="236" t="s">
        <v>123</v>
      </c>
      <c r="F234" s="236"/>
      <c r="G234" s="332" t="s">
        <v>129</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7"/>
        <v>1</v>
      </c>
      <c r="Q234" s="247">
        <f t="shared" ca="1" si="64"/>
        <v>0</v>
      </c>
      <c r="R234" s="380"/>
      <c r="S234" s="292" t="s">
        <v>1944</v>
      </c>
      <c r="T234" s="270">
        <v>4.0999999999999996</v>
      </c>
      <c r="U234" s="270">
        <f t="shared" si="65"/>
        <v>0.5</v>
      </c>
      <c r="V234" s="270">
        <f t="shared" si="70"/>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63"/>
        <v>PROPERTY_ENERGY_CERTIFICATEEPC</v>
      </c>
      <c r="B235" s="142" t="s">
        <v>26</v>
      </c>
      <c r="C235" s="138" t="s">
        <v>54</v>
      </c>
      <c r="D235" s="235" t="s">
        <v>40</v>
      </c>
      <c r="E235" s="236" t="s">
        <v>123</v>
      </c>
      <c r="F235" s="236"/>
      <c r="G235" s="332" t="s">
        <v>47</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7"/>
        <v>1</v>
      </c>
      <c r="Q235" s="247">
        <f t="shared" ca="1" si="64"/>
        <v>0</v>
      </c>
      <c r="R235" s="380"/>
      <c r="S235" s="292" t="s">
        <v>1944</v>
      </c>
      <c r="T235" s="270">
        <v>4.0999999999999996</v>
      </c>
      <c r="U235" s="270">
        <f t="shared" si="65"/>
        <v>0.5</v>
      </c>
      <c r="V235" s="270">
        <f t="shared" si="70"/>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63"/>
        <v>PROPERTY_ENERGY_CERTIFICATEENERGY_EFFICIENCY_IND</v>
      </c>
      <c r="B236" s="142" t="s">
        <v>26</v>
      </c>
      <c r="C236" s="138" t="s">
        <v>54</v>
      </c>
      <c r="D236" s="235" t="s">
        <v>40</v>
      </c>
      <c r="E236" s="236" t="s">
        <v>123</v>
      </c>
      <c r="F236" s="236"/>
      <c r="G236" s="332" t="s">
        <v>132</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7"/>
        <v>1</v>
      </c>
      <c r="Q236" s="247">
        <f t="shared" ca="1" si="64"/>
        <v>0</v>
      </c>
      <c r="R236" s="380"/>
      <c r="S236" s="292" t="s">
        <v>1944</v>
      </c>
      <c r="T236" s="270">
        <v>4.0999999999999996</v>
      </c>
      <c r="U236" s="270">
        <f t="shared" si="65"/>
        <v>0.5</v>
      </c>
      <c r="V236" s="270">
        <f t="shared" si="70"/>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63"/>
        <v>PROPERTY_ENERGY_CERTIFICATENZEB_IND</v>
      </c>
      <c r="B237" s="142" t="s">
        <v>26</v>
      </c>
      <c r="C237" s="138" t="s">
        <v>54</v>
      </c>
      <c r="D237" s="235" t="s">
        <v>40</v>
      </c>
      <c r="E237" s="236" t="s">
        <v>123</v>
      </c>
      <c r="F237" s="236"/>
      <c r="G237" s="332" t="s">
        <v>134</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7"/>
        <v>1</v>
      </c>
      <c r="Q237" s="247">
        <f t="shared" ca="1" si="64"/>
        <v>0</v>
      </c>
      <c r="R237" s="380"/>
      <c r="S237" s="292" t="s">
        <v>1944</v>
      </c>
      <c r="T237" s="270">
        <v>4.0999999999999996</v>
      </c>
      <c r="U237" s="270">
        <f t="shared" si="65"/>
        <v>0.5</v>
      </c>
      <c r="V237" s="270">
        <f t="shared" si="70"/>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63"/>
        <v>PROPERTY_ENERGY_CERTIFICATEACTUAL_VALUE_IND</v>
      </c>
      <c r="B238" s="142" t="s">
        <v>26</v>
      </c>
      <c r="C238" s="138" t="s">
        <v>54</v>
      </c>
      <c r="D238" s="235" t="s">
        <v>40</v>
      </c>
      <c r="E238" s="236" t="s">
        <v>123</v>
      </c>
      <c r="F238" s="236"/>
      <c r="G238" s="332" t="s">
        <v>49</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7"/>
        <v>1</v>
      </c>
      <c r="Q238" s="247">
        <f t="shared" ca="1" si="64"/>
        <v>0</v>
      </c>
      <c r="R238" s="380"/>
      <c r="S238" s="292" t="s">
        <v>1944</v>
      </c>
      <c r="T238" s="270">
        <v>4.0999999999999996</v>
      </c>
      <c r="U238" s="270">
        <f t="shared" si="65"/>
        <v>0.5</v>
      </c>
      <c r="V238" s="270">
        <f t="shared" si="70"/>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63"/>
        <v>PROPERTY_ENERGY_CERTIFICATESOURCE_CODE</v>
      </c>
      <c r="B239" s="142" t="s">
        <v>26</v>
      </c>
      <c r="C239" s="138" t="s">
        <v>54</v>
      </c>
      <c r="D239" s="235" t="s">
        <v>40</v>
      </c>
      <c r="E239" s="236" t="s">
        <v>123</v>
      </c>
      <c r="F239" s="236"/>
      <c r="G239" s="332" t="s">
        <v>87</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7"/>
        <v>1</v>
      </c>
      <c r="Q239" s="247">
        <f t="shared" ca="1" si="64"/>
        <v>0</v>
      </c>
      <c r="R239" s="380"/>
      <c r="S239" s="292" t="s">
        <v>1944</v>
      </c>
      <c r="T239" s="270">
        <v>4.0999999999999996</v>
      </c>
      <c r="U239" s="270">
        <f t="shared" si="65"/>
        <v>0.5</v>
      </c>
      <c r="V239" s="270">
        <f t="shared" si="70"/>
        <v>-0.5</v>
      </c>
      <c r="W239" s="281"/>
      <c r="X239" s="281"/>
      <c r="Y239" s="281"/>
      <c r="Z239" s="288"/>
      <c r="AA239" s="281"/>
      <c r="AB239" s="281"/>
      <c r="AC239" s="281"/>
      <c r="AD239" s="282"/>
      <c r="AE239" s="288"/>
      <c r="AF239" s="293"/>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63"/>
        <v>PROPERTY_ENERGY_CERTIFICATECERTIFICATE_TYPE</v>
      </c>
      <c r="B240" s="142" t="s">
        <v>26</v>
      </c>
      <c r="C240" s="138" t="s">
        <v>54</v>
      </c>
      <c r="D240" s="235" t="s">
        <v>40</v>
      </c>
      <c r="E240" s="236" t="s">
        <v>123</v>
      </c>
      <c r="F240" s="236"/>
      <c r="G240" s="332" t="s">
        <v>136</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7"/>
        <v>1</v>
      </c>
      <c r="Q240" s="247">
        <f t="shared" ca="1" si="64"/>
        <v>0</v>
      </c>
      <c r="R240" s="380"/>
      <c r="S240" s="292" t="s">
        <v>1944</v>
      </c>
      <c r="T240" s="270">
        <v>4.0999999999999996</v>
      </c>
      <c r="U240" s="270">
        <f t="shared" si="65"/>
        <v>0.5</v>
      </c>
      <c r="V240" s="270">
        <f t="shared" si="70"/>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63"/>
        <v>PROPERTY_ENERGY_CERTIFICATEENERGY_CONSUMPTION_VALUE_YEAR</v>
      </c>
      <c r="B241" s="142" t="s">
        <v>26</v>
      </c>
      <c r="C241" s="138" t="s">
        <v>54</v>
      </c>
      <c r="D241" s="235" t="s">
        <v>40</v>
      </c>
      <c r="E241" s="236" t="s">
        <v>123</v>
      </c>
      <c r="F241" s="236"/>
      <c r="G241" s="332" t="s">
        <v>51</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7"/>
        <v>1</v>
      </c>
      <c r="Q241" s="247">
        <f t="shared" ca="1" si="64"/>
        <v>0</v>
      </c>
      <c r="R241" s="380"/>
      <c r="S241" s="292" t="s">
        <v>1944</v>
      </c>
      <c r="T241" s="270">
        <v>4.0999999999999996</v>
      </c>
      <c r="U241" s="270">
        <f t="shared" si="65"/>
        <v>0.5</v>
      </c>
      <c r="V241" s="270">
        <f t="shared" si="70"/>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63"/>
        <v>PROPERTY_ENERGY_CERTIFICATECARBON_EMISSION_VALUE_YEAR</v>
      </c>
      <c r="B242" s="142" t="s">
        <v>26</v>
      </c>
      <c r="C242" s="138" t="s">
        <v>54</v>
      </c>
      <c r="D242" s="235" t="s">
        <v>40</v>
      </c>
      <c r="E242" s="236" t="s">
        <v>123</v>
      </c>
      <c r="F242" s="236"/>
      <c r="G242" s="332" t="s">
        <v>52</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7"/>
        <v>1</v>
      </c>
      <c r="Q242" s="247">
        <f t="shared" ca="1" si="64"/>
        <v>0</v>
      </c>
      <c r="R242" s="380"/>
      <c r="S242" s="292" t="s">
        <v>1944</v>
      </c>
      <c r="T242" s="270">
        <v>4.0999999999999996</v>
      </c>
      <c r="U242" s="270">
        <f t="shared" si="65"/>
        <v>0.5</v>
      </c>
      <c r="V242" s="270">
        <f t="shared" si="70"/>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63"/>
        <v>PROPERTY_ENERGY_CERTIFICATEREN_ENERGY_PRODUCED_VALUE</v>
      </c>
      <c r="B243" s="142" t="s">
        <v>26</v>
      </c>
      <c r="C243" s="138" t="s">
        <v>54</v>
      </c>
      <c r="D243" s="235" t="s">
        <v>40</v>
      </c>
      <c r="E243" s="236" t="s">
        <v>123</v>
      </c>
      <c r="F243" s="236"/>
      <c r="G243" s="332" t="s">
        <v>160</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7"/>
        <v>1</v>
      </c>
      <c r="Q243" s="247">
        <f t="shared" ca="1" si="64"/>
        <v>0</v>
      </c>
      <c r="R243" s="380"/>
      <c r="S243" s="292" t="s">
        <v>1944</v>
      </c>
      <c r="T243" s="270">
        <v>4.0999999999999996</v>
      </c>
      <c r="U243" s="270">
        <f t="shared" si="65"/>
        <v>0.5</v>
      </c>
      <c r="V243" s="270">
        <f t="shared" si="70"/>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63"/>
        <v>PROPERTY_ENERGY_CERTIFICATEPRIMARY_ENERGY_REQ_VALUE</v>
      </c>
      <c r="B244" s="142" t="s">
        <v>26</v>
      </c>
      <c r="C244" s="138" t="s">
        <v>54</v>
      </c>
      <c r="D244" s="235" t="s">
        <v>40</v>
      </c>
      <c r="E244" s="236" t="s">
        <v>123</v>
      </c>
      <c r="F244" s="236"/>
      <c r="G244" s="332" t="s">
        <v>164</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7"/>
        <v>1</v>
      </c>
      <c r="Q244" s="247">
        <f t="shared" ca="1" si="64"/>
        <v>0</v>
      </c>
      <c r="R244" s="380"/>
      <c r="S244" s="292" t="s">
        <v>1944</v>
      </c>
      <c r="T244" s="270">
        <v>4.0999999999999996</v>
      </c>
      <c r="U244" s="270">
        <f t="shared" si="65"/>
        <v>0.5</v>
      </c>
      <c r="V244" s="270">
        <f t="shared" si="70"/>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63"/>
        <v>PROPERTY_ENERGY_CERTIFICATENET_FLOOR_AREA</v>
      </c>
      <c r="B245" s="142" t="s">
        <v>26</v>
      </c>
      <c r="C245" s="138" t="s">
        <v>54</v>
      </c>
      <c r="D245" s="235" t="s">
        <v>40</v>
      </c>
      <c r="E245" s="236" t="s">
        <v>123</v>
      </c>
      <c r="F245" s="236"/>
      <c r="G245" s="332" t="s">
        <v>97</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7"/>
        <v>1</v>
      </c>
      <c r="Q245" s="247">
        <f t="shared" ca="1" si="64"/>
        <v>0</v>
      </c>
      <c r="R245" s="380"/>
      <c r="S245" s="292" t="s">
        <v>1944</v>
      </c>
      <c r="T245" s="270">
        <v>4.0999999999999996</v>
      </c>
      <c r="U245" s="270">
        <f t="shared" si="65"/>
        <v>0.5</v>
      </c>
      <c r="V245" s="270">
        <f t="shared" si="70"/>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63"/>
        <v>PROPERTY_ENERGY_CERTIFICATECADASTRAL_REGISTER_CODE</v>
      </c>
      <c r="B246" s="142" t="s">
        <v>26</v>
      </c>
      <c r="C246" s="138" t="s">
        <v>54</v>
      </c>
      <c r="D246" s="235" t="s">
        <v>40</v>
      </c>
      <c r="E246" s="236" t="s">
        <v>123</v>
      </c>
      <c r="F246" s="236"/>
      <c r="G246" s="332" t="s">
        <v>98</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7"/>
        <v>1</v>
      </c>
      <c r="Q246" s="247">
        <f t="shared" ca="1" si="64"/>
        <v>0</v>
      </c>
      <c r="R246" s="380"/>
      <c r="S246" s="292" t="s">
        <v>1944</v>
      </c>
      <c r="T246" s="270">
        <v>4.0999999999999996</v>
      </c>
      <c r="U246" s="270">
        <f t="shared" si="65"/>
        <v>0.5</v>
      </c>
      <c r="V246" s="270">
        <f t="shared" si="70"/>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63"/>
        <v>PROPERTY_ENERGY_CERTIFICATEDISTRICT_MUNICIP_PARISH_CODE</v>
      </c>
      <c r="B247" s="142" t="s">
        <v>26</v>
      </c>
      <c r="C247" s="138" t="s">
        <v>54</v>
      </c>
      <c r="D247" s="235" t="s">
        <v>40</v>
      </c>
      <c r="E247" s="236" t="s">
        <v>123</v>
      </c>
      <c r="F247" s="236"/>
      <c r="G247" s="332" t="s">
        <v>101</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7"/>
        <v>1</v>
      </c>
      <c r="Q247" s="247">
        <f t="shared" ca="1" si="64"/>
        <v>0</v>
      </c>
      <c r="R247" s="380"/>
      <c r="S247" s="292" t="s">
        <v>1944</v>
      </c>
      <c r="T247" s="270">
        <v>4.0999999999999996</v>
      </c>
      <c r="U247" s="270">
        <f t="shared" si="65"/>
        <v>0.5</v>
      </c>
      <c r="V247" s="270">
        <f t="shared" si="70"/>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63"/>
        <v>PROPERTY_ENERGY_CERTIFICATEPROPERTY_PURPOSE_CODE</v>
      </c>
      <c r="B248" s="142" t="s">
        <v>26</v>
      </c>
      <c r="C248" s="138" t="s">
        <v>54</v>
      </c>
      <c r="D248" s="235" t="s">
        <v>40</v>
      </c>
      <c r="E248" s="236" t="s">
        <v>123</v>
      </c>
      <c r="F248" s="236"/>
      <c r="G248" s="332" t="s">
        <v>102</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67"/>
        <v>1</v>
      </c>
      <c r="Q248" s="247">
        <f t="shared" ca="1" si="64"/>
        <v>0</v>
      </c>
      <c r="R248" s="380"/>
      <c r="S248" s="292" t="s">
        <v>1944</v>
      </c>
      <c r="T248" s="270">
        <v>4.0999999999999996</v>
      </c>
      <c r="U248" s="270">
        <f t="shared" si="65"/>
        <v>0.5</v>
      </c>
      <c r="V248" s="270">
        <f t="shared" si="70"/>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63"/>
        <v>PROPERTY_ENERGY_CERTIFICATEADDRESS_CODE</v>
      </c>
      <c r="B249" s="142" t="s">
        <v>26</v>
      </c>
      <c r="C249" s="138" t="s">
        <v>54</v>
      </c>
      <c r="D249" s="235" t="s">
        <v>40</v>
      </c>
      <c r="E249" s="236" t="s">
        <v>123</v>
      </c>
      <c r="F249" s="236"/>
      <c r="G249" s="332" t="s">
        <v>104</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67"/>
        <v>1</v>
      </c>
      <c r="Q249" s="247">
        <f t="shared" ca="1" si="64"/>
        <v>0</v>
      </c>
      <c r="R249" s="380"/>
      <c r="S249" s="292" t="s">
        <v>1944</v>
      </c>
      <c r="T249" s="270">
        <v>4.0999999999999996</v>
      </c>
      <c r="U249" s="270">
        <f t="shared" si="65"/>
        <v>0.5</v>
      </c>
      <c r="V249" s="270">
        <f t="shared" si="70"/>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hidden="1" outlineLevel="1">
      <c r="A250" s="274" t="str">
        <f t="shared" si="63"/>
        <v>PROPERTY_ENERGY_CERTIFICATEFLOOR_NUMBER</v>
      </c>
      <c r="B250" s="142" t="s">
        <v>26</v>
      </c>
      <c r="C250" s="138" t="s">
        <v>54</v>
      </c>
      <c r="D250" s="235" t="s">
        <v>40</v>
      </c>
      <c r="E250" s="236" t="s">
        <v>123</v>
      </c>
      <c r="F250" s="236"/>
      <c r="G250" s="332" t="s">
        <v>111</v>
      </c>
      <c r="H250" s="235" t="str">
        <f>VLOOKUP(A250,'2. Status Detalhe Campos'!$A$7:$G$574,7,0)</f>
        <v>1. Concluído</v>
      </c>
      <c r="I250" s="276" t="s">
        <v>38</v>
      </c>
      <c r="J250" s="285">
        <v>45638</v>
      </c>
      <c r="K250" s="285">
        <v>45639</v>
      </c>
      <c r="L250" s="290">
        <f t="array" ref="L250">MIN(IF(W250:CI250&gt;0,$W$16:$CI$16))</f>
        <v>45639</v>
      </c>
      <c r="M250" s="291">
        <f t="array" ref="M250">MAX(IF(W250:CI250&gt;0,$W$16:$CI$16))</f>
        <v>45639</v>
      </c>
      <c r="N250" s="291"/>
      <c r="O250" s="248">
        <f>VLOOKUP(H250,Auxiliar!$B$16:$E$24,4,0)</f>
        <v>1</v>
      </c>
      <c r="P250" s="315">
        <f t="shared" ca="1" si="67"/>
        <v>1</v>
      </c>
      <c r="Q250" s="247">
        <f t="shared" ca="1" si="64"/>
        <v>0</v>
      </c>
      <c r="R250" s="380"/>
      <c r="S250" s="292" t="s">
        <v>1944</v>
      </c>
      <c r="T250" s="270">
        <v>4.0999999999999996</v>
      </c>
      <c r="U250" s="270">
        <f t="shared" si="65"/>
        <v>0.5</v>
      </c>
      <c r="V250" s="270">
        <f t="shared" si="70"/>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hidden="1" outlineLevel="1">
      <c r="A251" s="274" t="str">
        <f t="shared" si="63"/>
        <v>PROPERTY_ENERGY_CERTIFICATELOCALITY</v>
      </c>
      <c r="B251" s="142" t="s">
        <v>26</v>
      </c>
      <c r="C251" s="138" t="s">
        <v>54</v>
      </c>
      <c r="D251" s="235" t="s">
        <v>40</v>
      </c>
      <c r="E251" s="236" t="s">
        <v>123</v>
      </c>
      <c r="F251" s="236"/>
      <c r="G251" s="332" t="s">
        <v>112</v>
      </c>
      <c r="H251" s="235" t="str">
        <f>VLOOKUP(A251,'2. Status Detalhe Campos'!$A$7:$G$574,7,0)</f>
        <v>1. Concluído</v>
      </c>
      <c r="I251" s="276" t="s">
        <v>38</v>
      </c>
      <c r="J251" s="285">
        <v>45638</v>
      </c>
      <c r="K251" s="285">
        <v>45639</v>
      </c>
      <c r="L251" s="290">
        <f t="array" ref="L251">MIN(IF(W251:CI251&gt;0,$W$16:$CI$16))</f>
        <v>45639</v>
      </c>
      <c r="M251" s="291">
        <f t="array" ref="M251">MAX(IF(W251:CI251&gt;0,$W$16:$CI$16))</f>
        <v>45639</v>
      </c>
      <c r="N251" s="291"/>
      <c r="O251" s="248">
        <f>VLOOKUP(H251,Auxiliar!$B$16:$E$24,4,0)</f>
        <v>1</v>
      </c>
      <c r="P251" s="315">
        <f t="shared" ca="1" si="67"/>
        <v>1</v>
      </c>
      <c r="Q251" s="247">
        <f t="shared" ca="1" si="64"/>
        <v>0</v>
      </c>
      <c r="R251" s="380"/>
      <c r="S251" s="292" t="s">
        <v>1944</v>
      </c>
      <c r="T251" s="270">
        <v>4.0999999999999996</v>
      </c>
      <c r="U251" s="270">
        <f t="shared" si="65"/>
        <v>0.5</v>
      </c>
      <c r="V251" s="270">
        <f t="shared" si="70"/>
        <v>-0.5</v>
      </c>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t="s">
        <v>444</v>
      </c>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5" customHeight="1" collapsed="1">
      <c r="A252" s="274"/>
      <c r="B252" s="142" t="s">
        <v>26</v>
      </c>
      <c r="C252" s="138" t="s">
        <v>34</v>
      </c>
      <c r="D252" s="134"/>
      <c r="E252" s="241" t="s">
        <v>2008</v>
      </c>
      <c r="F252" s="239" t="s">
        <v>1972</v>
      </c>
      <c r="G252" s="460" t="s">
        <v>1951</v>
      </c>
      <c r="H252" s="294" t="s">
        <v>2073</v>
      </c>
      <c r="I252" s="278" t="s">
        <v>38</v>
      </c>
      <c r="J252" s="278">
        <v>45645</v>
      </c>
      <c r="K252" s="276"/>
      <c r="L252" s="279">
        <f t="array" ref="L252">MIN(IF(W252:CI252&gt;0,$W$16:$CI$16))</f>
        <v>45671</v>
      </c>
      <c r="M252" s="310">
        <f t="array" ref="M252">MAX(IF(W252:CI252&gt;0,$W$16:$CI$16))</f>
        <v>45674</v>
      </c>
      <c r="N252" s="323" t="s">
        <v>1951</v>
      </c>
      <c r="O252" s="316">
        <v>0</v>
      </c>
      <c r="P252" s="316">
        <v>0</v>
      </c>
      <c r="Q252" s="247">
        <f>O252-P252</f>
        <v>0</v>
      </c>
      <c r="R252" s="379" t="s">
        <v>2081</v>
      </c>
      <c r="S252" s="280"/>
      <c r="T252" s="270"/>
      <c r="U252" s="270"/>
      <c r="V252" s="270"/>
      <c r="W252" s="281"/>
      <c r="X252" s="281"/>
      <c r="Y252" s="281"/>
      <c r="Z252" s="281"/>
      <c r="AA252" s="281"/>
      <c r="AB252" s="281"/>
      <c r="AC252" s="281"/>
      <c r="AD252" s="282"/>
      <c r="AE252" s="281"/>
      <c r="AF252" s="281"/>
      <c r="AG252" s="281"/>
      <c r="AH252" s="281"/>
      <c r="AI252" s="289"/>
      <c r="AJ252" s="281"/>
      <c r="AK252" s="281"/>
      <c r="AL252" s="281"/>
      <c r="AM252" s="281"/>
      <c r="AN252" s="281"/>
      <c r="AO252" s="281"/>
      <c r="AP252" s="281"/>
      <c r="AQ252" s="281"/>
      <c r="AR252" s="281"/>
      <c r="AS252" s="281"/>
      <c r="AT252" s="281"/>
      <c r="AU252" s="281"/>
      <c r="AV252" s="281"/>
      <c r="AW252" s="283"/>
      <c r="AX252" s="281"/>
      <c r="AY252" s="281"/>
      <c r="AZ252" s="281"/>
      <c r="BA252" s="283"/>
      <c r="BB252" s="281"/>
      <c r="BC252" s="281"/>
      <c r="BD252" s="281"/>
      <c r="BE252" s="281"/>
      <c r="BF252" s="281"/>
      <c r="BG252" s="281"/>
      <c r="BH252" s="281"/>
      <c r="BI252" s="281"/>
      <c r="BJ252" s="281"/>
      <c r="BK252" s="281"/>
      <c r="BL252" s="283"/>
      <c r="BM252" s="281"/>
      <c r="BN252" s="281"/>
      <c r="BO252" s="282"/>
      <c r="BP252" s="282"/>
      <c r="BQ252" s="282"/>
      <c r="BR252" s="282"/>
      <c r="BS252" s="282"/>
      <c r="BT252" s="282"/>
      <c r="BU252" s="282"/>
      <c r="BV252" s="281"/>
      <c r="BW252" s="281"/>
      <c r="BX252" s="281"/>
      <c r="BY252" s="281"/>
      <c r="BZ252" s="281"/>
      <c r="CA252" s="281"/>
      <c r="CB252" s="281"/>
      <c r="CC252" s="281"/>
      <c r="CD252" s="281">
        <v>1</v>
      </c>
      <c r="CE252" s="281">
        <v>1</v>
      </c>
      <c r="CF252" s="281"/>
      <c r="CG252" s="281" t="s">
        <v>444</v>
      </c>
      <c r="CH252" s="281"/>
      <c r="CI252" s="281"/>
    </row>
    <row r="253" spans="1:87" ht="15" customHeight="1">
      <c r="A253" s="274" t="str">
        <f>E253&amp;G253</f>
        <v>munichRetbd</v>
      </c>
      <c r="B253" s="142" t="s">
        <v>26</v>
      </c>
      <c r="C253" s="138" t="s">
        <v>181</v>
      </c>
      <c r="D253" s="134" t="s">
        <v>40</v>
      </c>
      <c r="E253" s="241" t="s">
        <v>1950</v>
      </c>
      <c r="F253" s="239" t="s">
        <v>1972</v>
      </c>
      <c r="G253" s="255" t="s">
        <v>1951</v>
      </c>
      <c r="H253" s="275" t="s">
        <v>2009</v>
      </c>
      <c r="I253" s="278">
        <v>45574</v>
      </c>
      <c r="J253" s="377">
        <v>45631</v>
      </c>
      <c r="K253" s="276"/>
      <c r="L253" s="279">
        <f t="array" ref="L253">MIN(IF(W253:CI253&gt;0,$W$16:$CI$16))</f>
        <v>45677</v>
      </c>
      <c r="M253" s="310">
        <f t="array" ref="M253">MAX(IF(W253:CI253&gt;0,$W$16:$CI$16))</f>
        <v>45678</v>
      </c>
      <c r="N253" s="323" t="s">
        <v>1951</v>
      </c>
      <c r="O253" s="316">
        <v>0</v>
      </c>
      <c r="P253" s="316">
        <f ca="1">IF(TODAY()&lt;=L253,0,MIN((TODAY()-L253)/(M253-L253+1),100%))</f>
        <v>0</v>
      </c>
      <c r="Q253" s="247">
        <f ca="1">O253-P253</f>
        <v>0</v>
      </c>
      <c r="R253" s="262" t="s">
        <v>2045</v>
      </c>
      <c r="S253" s="280"/>
      <c r="T253" s="270"/>
      <c r="U253" s="270"/>
      <c r="V253" s="270"/>
      <c r="W253" s="281"/>
      <c r="X253" s="281"/>
      <c r="Y253" s="281"/>
      <c r="Z253" s="281"/>
      <c r="AA253" s="281"/>
      <c r="AB253" s="281"/>
      <c r="AC253" s="281"/>
      <c r="AD253" s="282"/>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c r="BA253" s="297"/>
      <c r="BB253" s="283"/>
      <c r="BC253" s="281"/>
      <c r="BD253" s="281"/>
      <c r="BE253" s="281"/>
      <c r="BF253" s="281"/>
      <c r="BG253" s="281"/>
      <c r="BH253" s="281"/>
      <c r="BI253" s="281"/>
      <c r="BJ253" s="281"/>
      <c r="BK253" s="281"/>
      <c r="BL253" s="281"/>
      <c r="BM253" s="281"/>
      <c r="BN253" s="281"/>
      <c r="BO253" s="282"/>
      <c r="BP253" s="282"/>
      <c r="BQ253" s="282"/>
      <c r="BR253" s="282"/>
      <c r="BS253" s="282"/>
      <c r="BT253" s="282"/>
      <c r="BU253" s="282"/>
      <c r="BV253" s="281"/>
      <c r="BW253" s="281"/>
      <c r="BX253" s="281"/>
      <c r="BY253" s="281"/>
      <c r="BZ253" s="281"/>
      <c r="CA253" s="281"/>
      <c r="CB253" s="281"/>
      <c r="CC253" s="281"/>
      <c r="CD253" s="281"/>
      <c r="CE253" s="281"/>
      <c r="CF253" s="281"/>
      <c r="CG253" s="281"/>
      <c r="CH253" s="281">
        <v>1</v>
      </c>
      <c r="CI253" s="281">
        <v>1</v>
      </c>
    </row>
    <row r="254" spans="1:87" ht="15" customHeight="1">
      <c r="A254" s="274"/>
      <c r="B254" s="142" t="s">
        <v>26</v>
      </c>
      <c r="C254" s="138" t="s">
        <v>1970</v>
      </c>
      <c r="D254" s="134"/>
      <c r="E254" s="241" t="s">
        <v>1952</v>
      </c>
      <c r="F254" s="137"/>
      <c r="G254" s="334"/>
      <c r="H254" s="134"/>
      <c r="I254" s="276"/>
      <c r="J254" s="285"/>
      <c r="K254" s="276"/>
      <c r="L254" s="311"/>
      <c r="M254" s="311"/>
      <c r="N254" s="311"/>
      <c r="O254" s="247"/>
      <c r="P254" s="247"/>
      <c r="Q254" s="247"/>
      <c r="R254" s="261"/>
      <c r="S254" s="280"/>
      <c r="T254" s="270">
        <f>SUM(T206:T253)*0.3</f>
        <v>46.139999999999965</v>
      </c>
      <c r="U254" s="270">
        <f>ROUND(T254/8,1)</f>
        <v>5.8</v>
      </c>
      <c r="V254" s="270"/>
      <c r="W254" s="281"/>
      <c r="X254" s="281"/>
      <c r="Y254" s="281"/>
      <c r="Z254" s="281"/>
      <c r="AA254" s="281"/>
      <c r="AB254" s="281"/>
      <c r="AC254" s="281"/>
      <c r="AD254" s="282"/>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c r="BA254" s="281"/>
      <c r="BB254" s="281"/>
      <c r="BC254" s="281"/>
      <c r="BD254" s="281"/>
      <c r="BE254" s="281"/>
      <c r="BF254" s="281"/>
      <c r="BG254" s="281"/>
      <c r="BH254" s="281"/>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c r="CH254" s="281"/>
      <c r="CI254" s="281"/>
    </row>
  </sheetData>
  <autoFilter ref="A16:CO254"/>
  <conditionalFormatting sqref="V17:V83 V94 V88:V92 V96:V101 V139:V140 V135 V166:V168 V171:V254 V148:V164 V142:V143 V106:V129">
    <cfRule type="cellIs" dxfId="65" priority="117" operator="notEqual">
      <formula>0</formula>
    </cfRule>
  </conditionalFormatting>
  <conditionalFormatting sqref="W17:CI82 BI83:BL83 W83:BG83 W96:CI101 W135:CI135 BN83:CA83 W88:CI92 W94:CI94 W153:BC154 BE154:BK154 W155:BD155 BF155:BK155 W194:BG197 BI194:CI197 CC83:CI83 W152:BG152 BO152:CF152 BJ152:BM152 W199:CI254 W160:CI164 W166:CI166 BE153:CF153 BL154:CF155 W189:CI193 W188:BK188 BM188:CI188 W139:CF140 CB141:CF141 W156:CF158 W171:CI187 W168:CI168 W167:BL167 BN167:CI167 W159:BL159 BN159:CF159 W198:BM198 BO198:CI198 CH148:CI159 W148:CF151 W142:CF143 CG139:CI143 CC144:CG144 W106:CI129">
    <cfRule type="cellIs" dxfId="64" priority="104" operator="greaterThan">
      <formula>0</formula>
    </cfRule>
  </conditionalFormatting>
  <conditionalFormatting sqref="Y6:CI6 Y9:CI10">
    <cfRule type="cellIs" dxfId="63" priority="116" operator="notEqual">
      <formula>0</formula>
    </cfRule>
  </conditionalFormatting>
  <conditionalFormatting sqref="AO50:BT50">
    <cfRule type="cellIs" dxfId="62" priority="106" operator="greaterThan">
      <formula>0</formula>
    </cfRule>
  </conditionalFormatting>
  <conditionalFormatting sqref="AO70:BT73 BU70:CI75 AP74:AT74">
    <cfRule type="cellIs" dxfId="61" priority="61" operator="greaterThan">
      <formula>0</formula>
    </cfRule>
  </conditionalFormatting>
  <conditionalFormatting sqref="AO88:CI88">
    <cfRule type="cellIs" dxfId="60" priority="103" operator="greaterThan">
      <formula>0</formula>
    </cfRule>
  </conditionalFormatting>
  <conditionalFormatting sqref="BB218">
    <cfRule type="cellIs" dxfId="59" priority="69" operator="greaterThan">
      <formula>0</formula>
    </cfRule>
  </conditionalFormatting>
  <conditionalFormatting sqref="BU89:CI90">
    <cfRule type="cellIs" dxfId="58" priority="115" operator="greaterThan">
      <formula>0</formula>
    </cfRule>
  </conditionalFormatting>
  <conditionalFormatting sqref="V84 V86:V87">
    <cfRule type="cellIs" dxfId="57" priority="58" operator="notEqual">
      <formula>0</formula>
    </cfRule>
  </conditionalFormatting>
  <conditionalFormatting sqref="W84:BD84 BF84:CI84 W87:CI87">
    <cfRule type="cellIs" dxfId="56" priority="57" operator="greaterThan">
      <formula>0</formula>
    </cfRule>
  </conditionalFormatting>
  <conditionalFormatting sqref="V85">
    <cfRule type="cellIs" dxfId="55" priority="56" operator="notEqual">
      <formula>0</formula>
    </cfRule>
  </conditionalFormatting>
  <conditionalFormatting sqref="W85:BD85 BF85:CI85">
    <cfRule type="cellIs" dxfId="54" priority="55" operator="greaterThan">
      <formula>0</formula>
    </cfRule>
  </conditionalFormatting>
  <conditionalFormatting sqref="V93">
    <cfRule type="cellIs" dxfId="53" priority="54" operator="notEqual">
      <formula>0</formula>
    </cfRule>
  </conditionalFormatting>
  <conditionalFormatting sqref="W93:BG93 BI93:CI93">
    <cfRule type="cellIs" dxfId="52" priority="53" operator="greaterThan">
      <formula>0</formula>
    </cfRule>
  </conditionalFormatting>
  <conditionalFormatting sqref="V95">
    <cfRule type="cellIs" dxfId="51" priority="52" operator="notEqual">
      <formula>0</formula>
    </cfRule>
  </conditionalFormatting>
  <conditionalFormatting sqref="W95:BD95 BF95:BG95 BI95:CI95">
    <cfRule type="cellIs" dxfId="50" priority="51" operator="greaterThan">
      <formula>0</formula>
    </cfRule>
  </conditionalFormatting>
  <conditionalFormatting sqref="BE84">
    <cfRule type="cellIs" dxfId="49" priority="50" operator="greaterThan">
      <formula>0</formula>
    </cfRule>
  </conditionalFormatting>
  <conditionalFormatting sqref="BE85">
    <cfRule type="cellIs" dxfId="48" priority="49" operator="greaterThan">
      <formula>0</formula>
    </cfRule>
  </conditionalFormatting>
  <conditionalFormatting sqref="BE95">
    <cfRule type="cellIs" dxfId="47" priority="48" operator="greaterThan">
      <formula>0</formula>
    </cfRule>
  </conditionalFormatting>
  <conditionalFormatting sqref="BH93">
    <cfRule type="cellIs" dxfId="46" priority="47" operator="greaterThan">
      <formula>0</formula>
    </cfRule>
  </conditionalFormatting>
  <conditionalFormatting sqref="BH95">
    <cfRule type="cellIs" dxfId="45" priority="46" operator="greaterThan">
      <formula>0</formula>
    </cfRule>
  </conditionalFormatting>
  <conditionalFormatting sqref="W86:CI86">
    <cfRule type="cellIs" dxfId="44" priority="45" operator="greaterThan">
      <formula>0</formula>
    </cfRule>
  </conditionalFormatting>
  <conditionalFormatting sqref="BH83">
    <cfRule type="cellIs" dxfId="43" priority="44" operator="greaterThan">
      <formula>0</formula>
    </cfRule>
  </conditionalFormatting>
  <conditionalFormatting sqref="W103:BG103 BI103:CI103">
    <cfRule type="cellIs" dxfId="42" priority="42" operator="greaterThan">
      <formula>0</formula>
    </cfRule>
  </conditionalFormatting>
  <conditionalFormatting sqref="V103">
    <cfRule type="cellIs" dxfId="41" priority="43" operator="notEqual">
      <formula>0</formula>
    </cfRule>
  </conditionalFormatting>
  <conditionalFormatting sqref="V105">
    <cfRule type="cellIs" dxfId="40" priority="41" operator="notEqual">
      <formula>0</formula>
    </cfRule>
  </conditionalFormatting>
  <conditionalFormatting sqref="W105:CI105">
    <cfRule type="cellIs" dxfId="39" priority="40" operator="greaterThan">
      <formula>0</formula>
    </cfRule>
  </conditionalFormatting>
  <conditionalFormatting sqref="V102">
    <cfRule type="cellIs" dxfId="38" priority="39" operator="notEqual">
      <formula>0</formula>
    </cfRule>
  </conditionalFormatting>
  <conditionalFormatting sqref="W102:CI102">
    <cfRule type="cellIs" dxfId="37" priority="38" operator="greaterThan">
      <formula>0</formula>
    </cfRule>
  </conditionalFormatting>
  <conditionalFormatting sqref="V104">
    <cfRule type="cellIs" dxfId="36" priority="37" operator="notEqual">
      <formula>0</formula>
    </cfRule>
  </conditionalFormatting>
  <conditionalFormatting sqref="W104:CI104">
    <cfRule type="cellIs" dxfId="35" priority="36" operator="greaterThan">
      <formula>0</formula>
    </cfRule>
  </conditionalFormatting>
  <conditionalFormatting sqref="BH103">
    <cfRule type="cellIs" dxfId="34" priority="35" operator="greaterThan">
      <formula>0</formula>
    </cfRule>
  </conditionalFormatting>
  <conditionalFormatting sqref="V137:V138">
    <cfRule type="cellIs" dxfId="33" priority="34" operator="notEqual">
      <formula>0</formula>
    </cfRule>
  </conditionalFormatting>
  <conditionalFormatting sqref="W137:CI138">
    <cfRule type="cellIs" dxfId="32" priority="33" operator="greaterThan">
      <formula>0</formula>
    </cfRule>
  </conditionalFormatting>
  <conditionalFormatting sqref="V136">
    <cfRule type="cellIs" dxfId="31" priority="32" operator="notEqual">
      <formula>0</formula>
    </cfRule>
  </conditionalFormatting>
  <conditionalFormatting sqref="W136:CI136">
    <cfRule type="cellIs" dxfId="30" priority="31" operator="greaterThan">
      <formula>0</formula>
    </cfRule>
  </conditionalFormatting>
  <conditionalFormatting sqref="V133:V134">
    <cfRule type="cellIs" dxfId="29" priority="30" operator="notEqual">
      <formula>0</formula>
    </cfRule>
  </conditionalFormatting>
  <conditionalFormatting sqref="W133:CI134">
    <cfRule type="cellIs" dxfId="28" priority="29" operator="greaterThan">
      <formula>0</formula>
    </cfRule>
  </conditionalFormatting>
  <conditionalFormatting sqref="V132">
    <cfRule type="cellIs" dxfId="27" priority="28" operator="notEqual">
      <formula>0</formula>
    </cfRule>
  </conditionalFormatting>
  <conditionalFormatting sqref="W132:CI132">
    <cfRule type="cellIs" dxfId="26" priority="27" operator="greaterThan">
      <formula>0</formula>
    </cfRule>
  </conditionalFormatting>
  <conditionalFormatting sqref="BM83">
    <cfRule type="cellIs" dxfId="25" priority="26" operator="greaterThan">
      <formula>0</formula>
    </cfRule>
  </conditionalFormatting>
  <conditionalFormatting sqref="CB83">
    <cfRule type="cellIs" dxfId="24" priority="25" operator="greaterThan">
      <formula>0</formula>
    </cfRule>
  </conditionalFormatting>
  <conditionalFormatting sqref="V165">
    <cfRule type="cellIs" dxfId="23" priority="24" operator="notEqual">
      <formula>0</formula>
    </cfRule>
  </conditionalFormatting>
  <conditionalFormatting sqref="W165:CI165">
    <cfRule type="cellIs" dxfId="22" priority="23" operator="greaterThan">
      <formula>0</formula>
    </cfRule>
  </conditionalFormatting>
  <conditionalFormatting sqref="V141">
    <cfRule type="cellIs" dxfId="21" priority="21" operator="notEqual">
      <formula>0</formula>
    </cfRule>
  </conditionalFormatting>
  <conditionalFormatting sqref="W141:CA141">
    <cfRule type="cellIs" dxfId="20" priority="20" operator="greaterThan">
      <formula>0</formula>
    </cfRule>
  </conditionalFormatting>
  <conditionalFormatting sqref="CG148:CG159">
    <cfRule type="cellIs" dxfId="19" priority="19" operator="greaterThan">
      <formula>0</formula>
    </cfRule>
  </conditionalFormatting>
  <conditionalFormatting sqref="V170">
    <cfRule type="cellIs" dxfId="18" priority="18" operator="notEqual">
      <formula>0</formula>
    </cfRule>
  </conditionalFormatting>
  <conditionalFormatting sqref="W170:CI170">
    <cfRule type="cellIs" dxfId="17" priority="17" operator="greaterThan">
      <formula>0</formula>
    </cfRule>
  </conditionalFormatting>
  <conditionalFormatting sqref="V169">
    <cfRule type="cellIs" dxfId="16" priority="16" operator="notEqual">
      <formula>0</formula>
    </cfRule>
  </conditionalFormatting>
  <conditionalFormatting sqref="W169:CI169">
    <cfRule type="cellIs" dxfId="15" priority="15" operator="greaterThan">
      <formula>0</formula>
    </cfRule>
  </conditionalFormatting>
  <conditionalFormatting sqref="CH144:CI144">
    <cfRule type="cellIs" dxfId="14" priority="14" operator="greaterThan">
      <formula>0</formula>
    </cfRule>
  </conditionalFormatting>
  <conditionalFormatting sqref="V144">
    <cfRule type="cellIs" dxfId="13" priority="13" operator="notEqual">
      <formula>0</formula>
    </cfRule>
  </conditionalFormatting>
  <conditionalFormatting sqref="W144:CA144">
    <cfRule type="cellIs" dxfId="12" priority="12" operator="greaterThan">
      <formula>0</formula>
    </cfRule>
  </conditionalFormatting>
  <conditionalFormatting sqref="V145:V146">
    <cfRule type="cellIs" dxfId="11" priority="10" operator="notEqual">
      <formula>0</formula>
    </cfRule>
  </conditionalFormatting>
  <conditionalFormatting sqref="W146:CF146 CH145:CI146 CC145:CF145 W145:CA145">
    <cfRule type="cellIs" dxfId="10" priority="9" operator="greaterThan">
      <formula>0</formula>
    </cfRule>
  </conditionalFormatting>
  <conditionalFormatting sqref="CG145:CG146">
    <cfRule type="cellIs" dxfId="9" priority="8" operator="greaterThan">
      <formula>0</formula>
    </cfRule>
  </conditionalFormatting>
  <conditionalFormatting sqref="V147">
    <cfRule type="cellIs" dxfId="8" priority="7" operator="notEqual">
      <formula>0</formula>
    </cfRule>
  </conditionalFormatting>
  <conditionalFormatting sqref="W147:CI147">
    <cfRule type="cellIs" dxfId="7" priority="6" operator="greaterThan">
      <formula>0</formula>
    </cfRule>
  </conditionalFormatting>
  <conditionalFormatting sqref="CB145">
    <cfRule type="cellIs" dxfId="6" priority="5" operator="greaterThan">
      <formula>0</formula>
    </cfRule>
  </conditionalFormatting>
  <conditionalFormatting sqref="V130">
    <cfRule type="cellIs" dxfId="5" priority="4" operator="notEqual">
      <formula>0</formula>
    </cfRule>
  </conditionalFormatting>
  <conditionalFormatting sqref="W130:CI130">
    <cfRule type="cellIs" dxfId="4" priority="3" operator="greaterThan">
      <formula>0</formula>
    </cfRule>
  </conditionalFormatting>
  <conditionalFormatting sqref="V131">
    <cfRule type="cellIs" dxfId="3" priority="2" operator="notEqual">
      <formula>0</formula>
    </cfRule>
  </conditionalFormatting>
  <conditionalFormatting sqref="W131:CI131">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microsoft.com/office/infopath/2007/PartnerControls"/>
    <ds:schemaRef ds:uri="0683c779-04fc-4b63-89c9-6c25ffa1c0a4"/>
    <ds:schemaRef ds:uri="http://www.w3.org/XML/1998/namespace"/>
    <ds:schemaRef ds:uri="http://purl.org/dc/terms/"/>
    <ds:schemaRef ds:uri="http://purl.org/dc/elements/1.1/"/>
    <ds:schemaRef ds:uri="http://schemas.openxmlformats.org/package/2006/metadata/core-properties"/>
    <ds:schemaRef ds:uri="http://schemas.microsoft.com/office/2006/documentManagement/types"/>
    <ds:schemaRef ds:uri="http://purl.org/dc/dcmitype/"/>
    <ds:schemaRef ds:uri="6ea7b29d-57ec-408d-9ea9-cf73b04f66d5"/>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0FD955D2-7723-4412-A0F0-49CA08AF72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2025-01-12T13:07:06Z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