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Campos'!$A$16:$CO$252</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8" r:id="rId12"/>
    <pivotCache cacheId="21" r:id="rId13"/>
    <pivotCache cacheId="24" r:id="rId14"/>
    <pivotCache cacheId="27" r:id="rId15"/>
    <pivotCache cacheId="30" r:id="rId16"/>
    <pivotCache cacheId="33" r:id="rId17"/>
    <pivotCache cacheId="36" r:id="rId18"/>
    <pivotCache cacheId="42"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K39" i="15" l="1"/>
  <c r="K37" i="15"/>
  <c r="I39" i="15"/>
  <c r="U62" i="15"/>
  <c r="G165" i="21" l="1"/>
  <c r="G168" i="21"/>
  <c r="U167" i="21"/>
  <c r="V167" i="21" s="1"/>
  <c r="A167" i="21"/>
  <c r="G138" i="21"/>
  <c r="G140" i="21"/>
  <c r="G159" i="21"/>
  <c r="G163" i="21"/>
  <c r="J39" i="15" l="1"/>
  <c r="M47" i="15"/>
  <c r="M45" i="15"/>
  <c r="N38" i="15"/>
  <c r="N36" i="15"/>
  <c r="K227" i="21" l="1"/>
  <c r="G131" i="21" l="1"/>
  <c r="G128" i="21"/>
  <c r="U133" i="21"/>
  <c r="V133" i="21" s="1"/>
  <c r="A133" i="21"/>
  <c r="U132" i="21"/>
  <c r="V132" i="21" s="1"/>
  <c r="A132" i="21"/>
  <c r="T121" i="15" l="1"/>
  <c r="T86" i="15"/>
  <c r="U121" i="15"/>
  <c r="U86" i="15" l="1"/>
  <c r="K135" i="21"/>
  <c r="J135" i="21"/>
  <c r="I135" i="21"/>
  <c r="I131" i="21" s="1"/>
  <c r="G135" i="21"/>
  <c r="U137" i="21"/>
  <c r="V137" i="21" s="1"/>
  <c r="A137" i="21"/>
  <c r="U136" i="21"/>
  <c r="V136" i="21" s="1"/>
  <c r="A136" i="21"/>
  <c r="K104" i="21"/>
  <c r="K102" i="21"/>
  <c r="J104" i="21"/>
  <c r="J102" i="21"/>
  <c r="G104" i="21"/>
  <c r="G102" i="21"/>
  <c r="V105" i="21"/>
  <c r="A105" i="21"/>
  <c r="V103" i="21"/>
  <c r="A103" i="21"/>
  <c r="K218" i="21"/>
  <c r="K203" i="21"/>
  <c r="K196" i="21"/>
  <c r="K223" i="21"/>
  <c r="K187" i="21"/>
  <c r="K174"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I48" i="15"/>
  <c r="H48" i="15"/>
  <c r="L37" i="15"/>
  <c r="N37" i="15" s="1"/>
  <c r="J46" i="15"/>
  <c r="M46" i="15" s="1"/>
  <c r="J48" i="15" l="1"/>
  <c r="L39" i="15"/>
  <c r="N39" i="15"/>
  <c r="T25" i="15"/>
  <c r="T24" i="15"/>
  <c r="T23" i="15"/>
  <c r="T22" i="15"/>
  <c r="T21" i="15"/>
  <c r="T20" i="15"/>
  <c r="T19" i="15"/>
  <c r="T18" i="15"/>
  <c r="T17" i="15"/>
  <c r="T63" i="15"/>
  <c r="F36" i="15" s="1"/>
  <c r="U16" i="15"/>
  <c r="T26" i="15" l="1"/>
  <c r="K172" i="21"/>
  <c r="K168" i="21" s="1"/>
  <c r="K165" i="21" s="1"/>
  <c r="K163" i="21" s="1"/>
  <c r="K159" i="21" s="1"/>
  <c r="K121" i="21"/>
  <c r="K157"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7" i="21"/>
  <c r="J223" i="21"/>
  <c r="K150" i="21"/>
  <c r="J172" i="21" l="1"/>
  <c r="G98" i="21" l="1"/>
  <c r="U226" i="21" l="1"/>
  <c r="V226" i="21" s="1"/>
  <c r="U225" i="21"/>
  <c r="V225" i="21" s="1"/>
  <c r="U224" i="21"/>
  <c r="V224" i="21" s="1"/>
  <c r="V101" i="21"/>
  <c r="I98" i="21"/>
  <c r="J98" i="21"/>
  <c r="K98" i="21"/>
  <c r="K96" i="21"/>
  <c r="J96" i="21"/>
  <c r="K28" i="21"/>
  <c r="Q250" i="21"/>
  <c r="K88" i="21"/>
  <c r="A223" i="21"/>
  <c r="A226" i="21"/>
  <c r="A225" i="21"/>
  <c r="A224" i="21"/>
  <c r="K50" i="21"/>
  <c r="A101" i="21" l="1"/>
  <c r="I196" i="21" l="1"/>
  <c r="G196" i="21"/>
  <c r="Q216" i="21" l="1"/>
  <c r="Q217" i="21"/>
  <c r="J50" i="21"/>
  <c r="I50" i="21"/>
  <c r="J157" i="21"/>
  <c r="I157" i="21"/>
  <c r="I187" i="21"/>
  <c r="J77" i="21"/>
  <c r="I77" i="21"/>
  <c r="J17" i="21"/>
  <c r="I17" i="21"/>
  <c r="I172" i="21"/>
  <c r="J196" i="21"/>
  <c r="J80" i="21"/>
  <c r="I96" i="21"/>
  <c r="J121" i="21"/>
  <c r="I121" i="21"/>
  <c r="J146" i="21"/>
  <c r="J140" i="21" s="1"/>
  <c r="J138" i="21" s="1"/>
  <c r="J131" i="21" s="1"/>
  <c r="J128" i="21" s="1"/>
  <c r="J88" i="21"/>
  <c r="I88" i="21"/>
  <c r="I128" i="21"/>
  <c r="J174" i="21"/>
  <c r="J168" i="21" s="1"/>
  <c r="J165" i="21" s="1"/>
  <c r="J163" i="21" s="1"/>
  <c r="J159" i="21" s="1"/>
  <c r="J123" i="21"/>
  <c r="J191" i="21"/>
  <c r="J150" i="21"/>
  <c r="J218" i="21"/>
  <c r="J19" i="21"/>
  <c r="J28" i="21"/>
  <c r="J227" i="21"/>
  <c r="J203" i="21"/>
  <c r="BU16" i="21" l="1"/>
  <c r="BN10" i="20"/>
  <c r="BN6" i="20" s="1"/>
  <c r="G50" i="21"/>
  <c r="K17" i="21"/>
  <c r="G157" i="21"/>
  <c r="G187" i="21"/>
  <c r="G77" i="21"/>
  <c r="G17" i="21"/>
  <c r="K80" i="21"/>
  <c r="G172" i="21"/>
  <c r="G80" i="21"/>
  <c r="K146" i="21"/>
  <c r="G96" i="21"/>
  <c r="G121" i="21"/>
  <c r="G146" i="21"/>
  <c r="G88" i="21"/>
  <c r="G174" i="21"/>
  <c r="G123" i="21"/>
  <c r="G191" i="21"/>
  <c r="G150" i="21"/>
  <c r="G218" i="21"/>
  <c r="K19" i="21"/>
  <c r="G19" i="21"/>
  <c r="G28" i="21"/>
  <c r="G227" i="21"/>
  <c r="G203" i="21"/>
  <c r="T252" i="21"/>
  <c r="U252" i="21" s="1"/>
  <c r="A251" i="21"/>
  <c r="U171" i="21"/>
  <c r="V171" i="21" s="1"/>
  <c r="A171" i="21"/>
  <c r="U170" i="21"/>
  <c r="V170" i="21" s="1"/>
  <c r="A170" i="21"/>
  <c r="U169" i="21"/>
  <c r="V169" i="21" s="1"/>
  <c r="A169" i="21"/>
  <c r="U166" i="21"/>
  <c r="V166" i="21" s="1"/>
  <c r="A166" i="21"/>
  <c r="U173" i="21"/>
  <c r="V173" i="21" s="1"/>
  <c r="A173" i="21"/>
  <c r="V100" i="21"/>
  <c r="A100" i="21"/>
  <c r="V99" i="21"/>
  <c r="A99" i="21"/>
  <c r="U164" i="21"/>
  <c r="V164" i="21" s="1"/>
  <c r="A164" i="21"/>
  <c r="U162" i="21"/>
  <c r="V162" i="21" s="1"/>
  <c r="A162"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0" i="21"/>
  <c r="V190" i="21" s="1"/>
  <c r="A190" i="21"/>
  <c r="U189" i="21"/>
  <c r="V189" i="21" s="1"/>
  <c r="A189" i="21"/>
  <c r="U188" i="21"/>
  <c r="V188" i="21" s="1"/>
  <c r="A188" i="21"/>
  <c r="U18" i="21"/>
  <c r="V18" i="21" s="1"/>
  <c r="A18" i="21"/>
  <c r="U161" i="21"/>
  <c r="V161" i="21" s="1"/>
  <c r="A161" i="21"/>
  <c r="U160" i="21"/>
  <c r="V160" i="21" s="1"/>
  <c r="A160" i="21"/>
  <c r="U158" i="21"/>
  <c r="V158" i="21" s="1"/>
  <c r="A158" i="21"/>
  <c r="U78" i="21"/>
  <c r="V78" i="21" s="1"/>
  <c r="A78" i="21"/>
  <c r="U82" i="21"/>
  <c r="V82" i="21" s="1"/>
  <c r="A82" i="21"/>
  <c r="U81" i="21"/>
  <c r="V81" i="21" s="1"/>
  <c r="A81" i="21"/>
  <c r="U202" i="21"/>
  <c r="V202" i="21" s="1"/>
  <c r="A202" i="21"/>
  <c r="U201" i="21"/>
  <c r="V201" i="21" s="1"/>
  <c r="A201" i="21"/>
  <c r="U200" i="21"/>
  <c r="V200" i="21" s="1"/>
  <c r="A200" i="21"/>
  <c r="U199" i="21"/>
  <c r="V199" i="21" s="1"/>
  <c r="A199" i="21"/>
  <c r="U198" i="21"/>
  <c r="V198" i="21" s="1"/>
  <c r="A198" i="21"/>
  <c r="U197" i="21"/>
  <c r="V197" i="21" s="1"/>
  <c r="A197" i="21"/>
  <c r="U134" i="21"/>
  <c r="V134" i="21" s="1"/>
  <c r="A134" i="21"/>
  <c r="U130" i="21"/>
  <c r="V130" i="21" s="1"/>
  <c r="A130" i="21"/>
  <c r="U91" i="21"/>
  <c r="V91" i="21" s="1"/>
  <c r="A91" i="21"/>
  <c r="U97" i="21"/>
  <c r="V97" i="21" s="1"/>
  <c r="A97" i="21"/>
  <c r="U122" i="21"/>
  <c r="V122" i="21" s="1"/>
  <c r="A122" i="21"/>
  <c r="U149" i="21"/>
  <c r="V149" i="21" s="1"/>
  <c r="A149" i="21"/>
  <c r="U148" i="21"/>
  <c r="V148" i="21" s="1"/>
  <c r="A148" i="21"/>
  <c r="U147" i="21"/>
  <c r="V147" i="21" s="1"/>
  <c r="A147" i="21"/>
  <c r="U89" i="21"/>
  <c r="V89" i="21" s="1"/>
  <c r="A89" i="21"/>
  <c r="U90" i="21"/>
  <c r="V90" i="21" s="1"/>
  <c r="A90" i="21"/>
  <c r="U129" i="21"/>
  <c r="V129" i="21" s="1"/>
  <c r="A129"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U176" i="21"/>
  <c r="V176" i="21" s="1"/>
  <c r="A176" i="21"/>
  <c r="U175" i="21"/>
  <c r="V175" i="21" s="1"/>
  <c r="A175" i="21"/>
  <c r="V127" i="21"/>
  <c r="A127" i="21"/>
  <c r="V126" i="21"/>
  <c r="A126" i="21"/>
  <c r="U125" i="21"/>
  <c r="V125" i="21" s="1"/>
  <c r="A125" i="21"/>
  <c r="U124" i="21"/>
  <c r="V124" i="21" s="1"/>
  <c r="A124" i="21"/>
  <c r="U156" i="21"/>
  <c r="V156" i="21" s="1"/>
  <c r="A156" i="21"/>
  <c r="U155" i="21"/>
  <c r="V155" i="21" s="1"/>
  <c r="A155" i="21"/>
  <c r="U154" i="21"/>
  <c r="V154" i="21" s="1"/>
  <c r="A154" i="21"/>
  <c r="U153" i="21"/>
  <c r="V153" i="21" s="1"/>
  <c r="A153" i="21"/>
  <c r="U152" i="21"/>
  <c r="V152" i="21" s="1"/>
  <c r="A152" i="21"/>
  <c r="U151" i="21"/>
  <c r="V151" i="21" s="1"/>
  <c r="A151" i="21"/>
  <c r="U195" i="21"/>
  <c r="V195" i="21" s="1"/>
  <c r="A195" i="21"/>
  <c r="U194" i="21"/>
  <c r="V194" i="21" s="1"/>
  <c r="A194" i="21"/>
  <c r="U145" i="21"/>
  <c r="V145" i="21" s="1"/>
  <c r="A145" i="21"/>
  <c r="U144" i="21"/>
  <c r="V144" i="21" s="1"/>
  <c r="A144" i="21"/>
  <c r="U143" i="21"/>
  <c r="V143" i="21" s="1"/>
  <c r="A143" i="21"/>
  <c r="U193" i="21"/>
  <c r="V193" i="21" s="1"/>
  <c r="A193" i="21"/>
  <c r="U192" i="21"/>
  <c r="V192" i="21" s="1"/>
  <c r="A192" i="21"/>
  <c r="U142" i="21"/>
  <c r="V142" i="21" s="1"/>
  <c r="A142" i="21"/>
  <c r="U141" i="21"/>
  <c r="V141" i="21" s="1"/>
  <c r="A141" i="21"/>
  <c r="U139" i="21"/>
  <c r="V139" i="21" s="1"/>
  <c r="A139"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2" i="21"/>
  <c r="V222" i="21" s="1"/>
  <c r="A222" i="21"/>
  <c r="U221" i="21"/>
  <c r="V221" i="21" s="1"/>
  <c r="A221" i="21"/>
  <c r="U220" i="21"/>
  <c r="V220" i="21" s="1"/>
  <c r="A220" i="21"/>
  <c r="U219" i="21"/>
  <c r="V219" i="21" s="1"/>
  <c r="A219"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9" i="21"/>
  <c r="V249" i="21" s="1"/>
  <c r="A249" i="21"/>
  <c r="U248" i="21"/>
  <c r="V248" i="21" s="1"/>
  <c r="A248"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U205" i="21"/>
  <c r="V205" i="21" s="1"/>
  <c r="A205" i="21"/>
  <c r="U204" i="21"/>
  <c r="V204" i="21" s="1"/>
  <c r="A204"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K140" i="21" l="1"/>
  <c r="K138" i="21" s="1"/>
  <c r="K131" i="21" s="1"/>
  <c r="K128" i="21" s="1"/>
  <c r="BU15" i="21"/>
  <c r="O128" i="1"/>
  <c r="W128" i="1" s="1"/>
  <c r="H128" i="1"/>
  <c r="O127" i="1"/>
  <c r="W127" i="1" s="1"/>
  <c r="H127" i="1"/>
  <c r="A129" i="20" l="1"/>
  <c r="H129" i="20" s="1"/>
  <c r="A107" i="17"/>
  <c r="K107" i="17" s="1"/>
  <c r="O129" i="1"/>
  <c r="W129" i="1" s="1"/>
  <c r="K129" i="20" s="1"/>
  <c r="L129" i="20" s="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125" i="15" l="1"/>
  <c r="T90" i="15"/>
  <c r="T66" i="15"/>
  <c r="T65"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94"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89"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119" i="1"/>
  <c r="K576" i="20" s="1"/>
  <c r="L576" i="20" s="1"/>
  <c r="W1121" i="1"/>
  <c r="K575" i="20" s="1"/>
  <c r="L575" i="20" s="1"/>
  <c r="W1110" i="1"/>
  <c r="K574" i="20" s="1"/>
  <c r="L574" i="20" s="1"/>
  <c r="W1117" i="1"/>
  <c r="K573" i="20" s="1"/>
  <c r="L573" i="20" s="1"/>
  <c r="W1118" i="1"/>
  <c r="K572" i="20" s="1"/>
  <c r="L572" i="20" s="1"/>
  <c r="W1120" i="1"/>
  <c r="K571" i="20" s="1"/>
  <c r="L571" i="20" s="1"/>
  <c r="W1299"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130" i="15" l="1"/>
  <c r="T129" i="15"/>
  <c r="T128" i="15"/>
  <c r="T127" i="15"/>
  <c r="T126" i="15"/>
  <c r="T124" i="15"/>
  <c r="T123" i="15"/>
  <c r="E38" i="15" s="1"/>
  <c r="T122" i="15"/>
  <c r="F38" i="15" s="1"/>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87" i="15"/>
  <c r="F37" i="15" s="1"/>
  <c r="F39" i="15" s="1"/>
  <c r="T88" i="15"/>
  <c r="E37" i="15" s="1"/>
  <c r="T91" i="15"/>
  <c r="T92" i="15"/>
  <c r="T93" i="15"/>
  <c r="T95" i="15"/>
  <c r="T64" i="15"/>
  <c r="E36" i="15" s="1"/>
  <c r="T67" i="15"/>
  <c r="T68" i="15"/>
  <c r="T69" i="15"/>
  <c r="T70" i="15"/>
  <c r="T71" i="15"/>
  <c r="E39" i="15" l="1"/>
  <c r="T72" i="15"/>
  <c r="D36" i="15" s="1"/>
  <c r="Y13" i="20"/>
  <c r="Y9" i="20" s="1"/>
  <c r="X12" i="20"/>
  <c r="U13" i="19"/>
  <c r="T12" i="19"/>
  <c r="T131" i="15"/>
  <c r="D38" i="15" s="1"/>
  <c r="G38" i="15" s="1"/>
  <c r="T96" i="15"/>
  <c r="D37" i="15" s="1"/>
  <c r="G37" i="15" s="1"/>
  <c r="A8" i="17"/>
  <c r="A7" i="17"/>
  <c r="D39" i="15" l="1"/>
  <c r="G36" i="15"/>
  <c r="G39" i="15" s="1"/>
  <c r="L7" i="17"/>
  <c r="L8" i="17"/>
  <c r="K7" i="17"/>
  <c r="J7" i="17"/>
  <c r="J8" i="17"/>
  <c r="K8" i="17"/>
  <c r="Z13" i="20"/>
  <c r="Z9" i="20" s="1"/>
  <c r="Y12" i="20"/>
  <c r="V13" i="19"/>
  <c r="U12" i="19"/>
  <c r="H1301" i="1"/>
  <c r="H1302" i="1"/>
  <c r="H1303" i="1"/>
  <c r="H1304" i="1"/>
  <c r="H1305" i="1"/>
  <c r="H1306" i="1"/>
  <c r="H1307" i="1"/>
  <c r="H1308" i="1"/>
  <c r="H1309" i="1"/>
  <c r="H1310" i="1"/>
  <c r="H1299" i="1"/>
  <c r="H1120" i="1"/>
  <c r="H1118" i="1"/>
  <c r="H1117" i="1"/>
  <c r="H1110" i="1"/>
  <c r="H1121" i="1"/>
  <c r="H111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G41" i="15" l="1"/>
  <c r="G40" i="15"/>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4" i="1"/>
  <c r="H1115" i="1"/>
  <c r="H1116" i="1"/>
  <c r="H1152" i="1"/>
  <c r="H1153" i="1"/>
  <c r="H1154" i="1"/>
  <c r="H1111" i="1"/>
  <c r="H1112" i="1"/>
  <c r="H1113" i="1"/>
  <c r="H1149" i="1"/>
  <c r="H1150" i="1"/>
  <c r="H1151" i="1"/>
  <c r="H1296" i="1"/>
  <c r="H1297" i="1"/>
  <c r="H1298" i="1"/>
  <c r="H1293" i="1"/>
  <c r="H1294" i="1"/>
  <c r="H1295" i="1"/>
  <c r="H1155" i="1"/>
  <c r="H1156" i="1"/>
  <c r="H1157" i="1"/>
  <c r="H1128" i="1"/>
  <c r="H1129" i="1"/>
  <c r="H1130" i="1"/>
  <c r="H1125" i="1"/>
  <c r="H1126" i="1"/>
  <c r="H1127" i="1"/>
  <c r="H1122" i="1"/>
  <c r="H1123" i="1"/>
  <c r="H1124" i="1"/>
  <c r="H1146" i="1"/>
  <c r="H1147" i="1"/>
  <c r="H1148" i="1"/>
  <c r="H1143" i="1"/>
  <c r="H1144" i="1"/>
  <c r="H1145" i="1"/>
  <c r="H1134" i="1"/>
  <c r="H1135" i="1"/>
  <c r="H1136" i="1"/>
  <c r="H1137" i="1"/>
  <c r="H1138" i="1"/>
  <c r="H1139" i="1"/>
  <c r="H1140" i="1"/>
  <c r="H1141" i="1"/>
  <c r="H1142" i="1"/>
  <c r="H1131" i="1"/>
  <c r="H1132" i="1"/>
  <c r="H1133"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33" i="1"/>
  <c r="W1133" i="1" s="1"/>
  <c r="O1132" i="1"/>
  <c r="W1132" i="1" s="1"/>
  <c r="O1131" i="1"/>
  <c r="O1142" i="1"/>
  <c r="W1142" i="1" s="1"/>
  <c r="O1141" i="1"/>
  <c r="W1141" i="1" s="1"/>
  <c r="O1140" i="1"/>
  <c r="O1139" i="1"/>
  <c r="W1139" i="1" s="1"/>
  <c r="O1138" i="1"/>
  <c r="W1138" i="1" s="1"/>
  <c r="O1137" i="1"/>
  <c r="O1136" i="1"/>
  <c r="W1136" i="1" s="1"/>
  <c r="O1135" i="1"/>
  <c r="W1135" i="1" s="1"/>
  <c r="O1134" i="1"/>
  <c r="O1145" i="1"/>
  <c r="W1145" i="1" s="1"/>
  <c r="O1144" i="1"/>
  <c r="W1144" i="1" s="1"/>
  <c r="O1143" i="1"/>
  <c r="W1143" i="1" s="1"/>
  <c r="O1148" i="1"/>
  <c r="W1148" i="1" s="1"/>
  <c r="O1147" i="1"/>
  <c r="W1147" i="1" s="1"/>
  <c r="O1146" i="1"/>
  <c r="W1146" i="1" s="1"/>
  <c r="O1124" i="1"/>
  <c r="W1124" i="1" s="1"/>
  <c r="O1123" i="1"/>
  <c r="W1123" i="1" s="1"/>
  <c r="O1122" i="1"/>
  <c r="W1122" i="1" s="1"/>
  <c r="O1127" i="1"/>
  <c r="W1127" i="1" s="1"/>
  <c r="O1126" i="1"/>
  <c r="W1126" i="1" s="1"/>
  <c r="O1125" i="1"/>
  <c r="W1125" i="1" s="1"/>
  <c r="O1130" i="1"/>
  <c r="W1130" i="1" s="1"/>
  <c r="O1129" i="1"/>
  <c r="W1129" i="1" s="1"/>
  <c r="O1128" i="1"/>
  <c r="W1128" i="1" s="1"/>
  <c r="O1157" i="1"/>
  <c r="W1157" i="1" s="1"/>
  <c r="O1156" i="1"/>
  <c r="W1156" i="1" s="1"/>
  <c r="O1155" i="1"/>
  <c r="W1155" i="1" s="1"/>
  <c r="O1295" i="1"/>
  <c r="W1295" i="1" s="1"/>
  <c r="O1294" i="1"/>
  <c r="W1294" i="1" s="1"/>
  <c r="O1293" i="1"/>
  <c r="W1293" i="1" s="1"/>
  <c r="O1298" i="1"/>
  <c r="W1298" i="1" s="1"/>
  <c r="O1297" i="1"/>
  <c r="W1297" i="1" s="1"/>
  <c r="O1296" i="1"/>
  <c r="W1296" i="1" s="1"/>
  <c r="O1151" i="1"/>
  <c r="W1151" i="1" s="1"/>
  <c r="O1150" i="1"/>
  <c r="W1150" i="1" s="1"/>
  <c r="O1149" i="1"/>
  <c r="W1149" i="1" s="1"/>
  <c r="O1113" i="1"/>
  <c r="W1113" i="1" s="1"/>
  <c r="O1112" i="1"/>
  <c r="W1112" i="1" s="1"/>
  <c r="O1111" i="1"/>
  <c r="W1111" i="1" s="1"/>
  <c r="O1154" i="1"/>
  <c r="W1154" i="1" s="1"/>
  <c r="O1153" i="1"/>
  <c r="W1153" i="1" s="1"/>
  <c r="O1152" i="1"/>
  <c r="W1152" i="1" s="1"/>
  <c r="O1116" i="1"/>
  <c r="W1116" i="1" s="1"/>
  <c r="O1115" i="1"/>
  <c r="W1115" i="1" s="1"/>
  <c r="O1114" i="1"/>
  <c r="W1114"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7" i="1" l="1"/>
  <c r="J128" i="1"/>
  <c r="J129" i="1"/>
  <c r="J266" i="1"/>
  <c r="J1229" i="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67" i="21" s="1"/>
  <c r="O167" i="21" s="1"/>
  <c r="G588" i="20"/>
  <c r="G561" i="17" s="1"/>
  <c r="H169" i="21" s="1"/>
  <c r="O169" i="21" s="1"/>
  <c r="G589" i="20"/>
  <c r="G562" i="17" s="1"/>
  <c r="H170" i="21" s="1"/>
  <c r="O170" i="21" s="1"/>
  <c r="G591" i="20"/>
  <c r="G564" i="17" s="1"/>
  <c r="H171" i="21" s="1"/>
  <c r="O171" i="21" s="1"/>
  <c r="W1140" i="1"/>
  <c r="K590" i="20" s="1"/>
  <c r="L590" i="20" s="1"/>
  <c r="I590" i="20"/>
  <c r="J590" i="20" s="1"/>
  <c r="W1137" i="1"/>
  <c r="K589" i="20" s="1"/>
  <c r="L589" i="20" s="1"/>
  <c r="I589" i="20"/>
  <c r="J589" i="20" s="1"/>
  <c r="W1134" i="1"/>
  <c r="K588" i="20" s="1"/>
  <c r="L588" i="20" s="1"/>
  <c r="I588" i="20"/>
  <c r="J588" i="20" s="1"/>
  <c r="W1131" i="1"/>
  <c r="K591" i="20" s="1"/>
  <c r="L591" i="20" s="1"/>
  <c r="I591" i="20"/>
  <c r="J591" i="20" s="1"/>
  <c r="J1055" i="1"/>
  <c r="J826" i="1"/>
  <c r="G28" i="20"/>
  <c r="G9" i="17" s="1"/>
  <c r="H205" i="21" s="1"/>
  <c r="O205" i="21" s="1"/>
  <c r="G195" i="20"/>
  <c r="G174" i="17" s="1"/>
  <c r="H243" i="21" s="1"/>
  <c r="O243" i="21" s="1"/>
  <c r="G89" i="20"/>
  <c r="G68" i="17" s="1"/>
  <c r="J386" i="1"/>
  <c r="J793" i="1"/>
  <c r="J792" i="1"/>
  <c r="J794" i="1"/>
  <c r="J791" i="1"/>
  <c r="G198" i="20"/>
  <c r="G177" i="17" s="1"/>
  <c r="H246" i="21" s="1"/>
  <c r="O246" i="21" s="1"/>
  <c r="G200" i="20"/>
  <c r="G179" i="17" s="1"/>
  <c r="H248" i="21" s="1"/>
  <c r="O248" i="21" s="1"/>
  <c r="G197" i="20"/>
  <c r="G176" i="17" s="1"/>
  <c r="H245" i="21" s="1"/>
  <c r="O245" i="21" s="1"/>
  <c r="G201" i="20"/>
  <c r="G180" i="17" s="1"/>
  <c r="H249" i="21" s="1"/>
  <c r="O249" i="21" s="1"/>
  <c r="G196" i="20"/>
  <c r="G175" i="17" s="1"/>
  <c r="H244" i="21" s="1"/>
  <c r="O244" i="21" s="1"/>
  <c r="G199" i="20"/>
  <c r="G178" i="17" s="1"/>
  <c r="H247" i="21" s="1"/>
  <c r="O247"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296" i="1"/>
  <c r="J1024" i="1"/>
  <c r="J766" i="1"/>
  <c r="J629" i="1"/>
  <c r="J115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28" i="21" s="1"/>
  <c r="O228" i="21" s="1"/>
  <c r="G206" i="20"/>
  <c r="G183" i="17" s="1"/>
  <c r="G272" i="20"/>
  <c r="G249" i="17" s="1"/>
  <c r="G337" i="20"/>
  <c r="G314" i="17" s="1"/>
  <c r="G399" i="20"/>
  <c r="G374" i="17" s="1"/>
  <c r="H114" i="21" s="1"/>
  <c r="O114" i="21" s="1"/>
  <c r="G378" i="19"/>
  <c r="G177" i="19"/>
  <c r="G530" i="19"/>
  <c r="G92" i="19"/>
  <c r="G162" i="19"/>
  <c r="G227" i="19"/>
  <c r="G291" i="19"/>
  <c r="G355" i="19"/>
  <c r="G420" i="19"/>
  <c r="G485" i="19"/>
  <c r="G129" i="19"/>
  <c r="G526" i="19"/>
  <c r="G86" i="19"/>
  <c r="G155" i="19"/>
  <c r="G220" i="19"/>
  <c r="G284" i="19"/>
  <c r="G502" i="20"/>
  <c r="G475" i="17" s="1"/>
  <c r="H158" i="21" s="1"/>
  <c r="O158" i="21" s="1"/>
  <c r="O157" i="21" s="1"/>
  <c r="G403" i="19"/>
  <c r="G140" i="19"/>
  <c r="G213" i="19"/>
  <c r="G277" i="19"/>
  <c r="G341" i="19"/>
  <c r="G406" i="19"/>
  <c r="G605" i="19"/>
  <c r="G494" i="20"/>
  <c r="G467" i="17" s="1"/>
  <c r="H198" i="21" s="1"/>
  <c r="O198" i="21" s="1"/>
  <c r="G419" i="19"/>
  <c r="G132" i="19"/>
  <c r="G74" i="19"/>
  <c r="G133" i="19"/>
  <c r="G206" i="19"/>
  <c r="G270" i="19"/>
  <c r="G434" i="19"/>
  <c r="G30" i="20"/>
  <c r="G11" i="17" s="1"/>
  <c r="H207" i="21" s="1"/>
  <c r="O207" i="21" s="1"/>
  <c r="G218" i="19"/>
  <c r="G45" i="19"/>
  <c r="G60" i="19"/>
  <c r="G118" i="19"/>
  <c r="G182" i="19"/>
  <c r="G247" i="19"/>
  <c r="G311" i="19"/>
  <c r="G376" i="19"/>
  <c r="G440" i="19"/>
  <c r="G82" i="19"/>
  <c r="G143" i="19"/>
  <c r="G47" i="20"/>
  <c r="G26" i="17" s="1"/>
  <c r="G472" i="20"/>
  <c r="G445" i="17" s="1"/>
  <c r="H89" i="21" s="1"/>
  <c r="O89" i="21" s="1"/>
  <c r="G316" i="19"/>
  <c r="G381" i="19"/>
  <c r="G445" i="19"/>
  <c r="G510" i="19"/>
  <c r="G547" i="19"/>
  <c r="G105" i="20"/>
  <c r="G84" i="17" s="1"/>
  <c r="G169" i="20"/>
  <c r="G148" i="17" s="1"/>
  <c r="G242" i="20"/>
  <c r="G219" i="17" s="1"/>
  <c r="G307" i="20"/>
  <c r="G284" i="17" s="1"/>
  <c r="G377" i="20"/>
  <c r="G352" i="17" s="1"/>
  <c r="H219" i="21" s="1"/>
  <c r="O219" i="21" s="1"/>
  <c r="G441" i="20"/>
  <c r="G416" i="17" s="1"/>
  <c r="H175" i="21" s="1"/>
  <c r="O175" i="21" s="1"/>
  <c r="G63" i="20"/>
  <c r="G42" i="17" s="1"/>
  <c r="G490" i="20"/>
  <c r="G463" i="17" s="1"/>
  <c r="H84" i="21" s="1"/>
  <c r="O84" i="21" s="1"/>
  <c r="G334" i="19"/>
  <c r="G399" i="19"/>
  <c r="G464" i="19"/>
  <c r="G524" i="19"/>
  <c r="G556" i="19"/>
  <c r="G114" i="20"/>
  <c r="G93" i="17" s="1"/>
  <c r="G329" i="19"/>
  <c r="G112" i="19"/>
  <c r="G168" i="19"/>
  <c r="G217" i="19"/>
  <c r="G249" i="19"/>
  <c r="G370" i="19"/>
  <c r="G59" i="20"/>
  <c r="G38" i="17" s="1"/>
  <c r="G290" i="19"/>
  <c r="G550" i="19"/>
  <c r="G143" i="20"/>
  <c r="G122" i="17" s="1"/>
  <c r="H234" i="21" s="1"/>
  <c r="O234" i="21" s="1"/>
  <c r="G214" i="20"/>
  <c r="G191" i="17" s="1"/>
  <c r="H29" i="21" s="1"/>
  <c r="O29" i="21" s="1"/>
  <c r="G281" i="20"/>
  <c r="G258" i="17" s="1"/>
  <c r="G345" i="20"/>
  <c r="G322" i="17" s="1"/>
  <c r="G407" i="20"/>
  <c r="G382" i="17" s="1"/>
  <c r="H141" i="21" s="1"/>
  <c r="O141"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93" i="21" s="1"/>
  <c r="O93" i="21" s="1"/>
  <c r="O92" i="21" s="1"/>
  <c r="G324" i="19"/>
  <c r="G389" i="19"/>
  <c r="G454" i="19"/>
  <c r="G518" i="19"/>
  <c r="G551" i="19"/>
  <c r="G112" i="20"/>
  <c r="G91" i="17" s="1"/>
  <c r="G177" i="20"/>
  <c r="G156" i="17" s="1"/>
  <c r="G250" i="20"/>
  <c r="G227" i="17" s="1"/>
  <c r="G315" i="20"/>
  <c r="G292" i="17" s="1"/>
  <c r="G385" i="20"/>
  <c r="G360" i="17" s="1"/>
  <c r="H23" i="21" s="1"/>
  <c r="O23" i="21" s="1"/>
  <c r="G449" i="20"/>
  <c r="G424" i="17" s="1"/>
  <c r="H182" i="21" s="1"/>
  <c r="O182" i="21" s="1"/>
  <c r="G77" i="20"/>
  <c r="G56" i="17" s="1"/>
  <c r="G498" i="20"/>
  <c r="G471" i="17" s="1"/>
  <c r="H202" i="21" s="1"/>
  <c r="O202"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95" i="21" s="1"/>
  <c r="O195"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37" i="21" s="1"/>
  <c r="O137" i="21" s="1"/>
  <c r="G298" i="19"/>
  <c r="G87" i="19"/>
  <c r="G75" i="19"/>
  <c r="G134" i="19"/>
  <c r="G199" i="19"/>
  <c r="G263" i="19"/>
  <c r="G327" i="19"/>
  <c r="G392" i="19"/>
  <c r="G31" i="19"/>
  <c r="G97" i="19"/>
  <c r="G159" i="19"/>
  <c r="G61" i="20"/>
  <c r="G40" i="17" s="1"/>
  <c r="G488" i="20"/>
  <c r="G461" i="17" s="1"/>
  <c r="H134" i="21" s="1"/>
  <c r="O134"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200" i="21" s="1"/>
  <c r="O200" i="21" s="1"/>
  <c r="G340" i="19"/>
  <c r="G405" i="19"/>
  <c r="G470" i="19"/>
  <c r="G527" i="19"/>
  <c r="G559" i="19"/>
  <c r="G128" i="20"/>
  <c r="G108" i="17" s="1"/>
  <c r="G193" i="20"/>
  <c r="G172" i="17" s="1"/>
  <c r="G266" i="20"/>
  <c r="G243" i="17" s="1"/>
  <c r="G331" i="20"/>
  <c r="G308" i="17" s="1"/>
  <c r="G401" i="20"/>
  <c r="G376" i="17" s="1"/>
  <c r="H116" i="21" s="1"/>
  <c r="O116" i="21" s="1"/>
  <c r="G465" i="20"/>
  <c r="G438" i="17" s="1"/>
  <c r="H69" i="21" s="1"/>
  <c r="O69" i="21" s="1"/>
  <c r="G91" i="20"/>
  <c r="G70" i="17" s="1"/>
  <c r="G514" i="20"/>
  <c r="G487" i="17" s="1"/>
  <c r="H55" i="21" s="1"/>
  <c r="O55" i="21" s="1"/>
  <c r="G358" i="19"/>
  <c r="G423" i="19"/>
  <c r="G488" i="19"/>
  <c r="G536" i="19"/>
  <c r="G568" i="19"/>
  <c r="G139" i="20"/>
  <c r="G118" i="17" s="1"/>
  <c r="H232" i="21" s="1"/>
  <c r="O232" i="21" s="1"/>
  <c r="G210" i="20"/>
  <c r="G187" i="17" s="1"/>
  <c r="G276" i="20"/>
  <c r="G253" i="17" s="1"/>
  <c r="G341" i="20"/>
  <c r="G318" i="17" s="1"/>
  <c r="G411" i="20"/>
  <c r="G386" i="17" s="1"/>
  <c r="H143" i="21" s="1"/>
  <c r="O143" i="21" s="1"/>
  <c r="G465" i="19"/>
  <c r="G611" i="19"/>
  <c r="G152" i="19"/>
  <c r="G265" i="19"/>
  <c r="G345" i="19"/>
  <c r="G337" i="19"/>
  <c r="G77" i="19"/>
  <c r="G459" i="19"/>
  <c r="G49" i="19"/>
  <c r="G435" i="19"/>
  <c r="G627" i="19"/>
  <c r="G167" i="20"/>
  <c r="G146" i="17" s="1"/>
  <c r="G240" i="20"/>
  <c r="G217" i="17" s="1"/>
  <c r="G305" i="20"/>
  <c r="G282" i="17" s="1"/>
  <c r="G369" i="20"/>
  <c r="G346" i="17" s="1"/>
  <c r="G431" i="20"/>
  <c r="G406" i="17" s="1"/>
  <c r="H125" i="21" s="1"/>
  <c r="O125" i="21" s="1"/>
  <c r="G486" i="20"/>
  <c r="G459" i="17" s="1"/>
  <c r="H132" i="21" s="1"/>
  <c r="O132"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61" i="21" s="1"/>
  <c r="O161" i="21" s="1"/>
  <c r="G348" i="19"/>
  <c r="G413" i="19"/>
  <c r="G478" i="19"/>
  <c r="G531" i="19"/>
  <c r="G563" i="19"/>
  <c r="G137" i="20"/>
  <c r="G116" i="17" s="1"/>
  <c r="H230" i="21" s="1"/>
  <c r="O230" i="21" s="1"/>
  <c r="G208" i="20"/>
  <c r="G185" i="17" s="1"/>
  <c r="G274" i="20"/>
  <c r="G251" i="17" s="1"/>
  <c r="G339" i="20"/>
  <c r="G316" i="17" s="1"/>
  <c r="G409" i="20"/>
  <c r="G384" i="17" s="1"/>
  <c r="H192" i="21" s="1"/>
  <c r="O192" i="21" s="1"/>
  <c r="G34" i="20"/>
  <c r="G15" i="17" s="1"/>
  <c r="H211" i="21" s="1"/>
  <c r="O211"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15" i="21" s="1"/>
  <c r="O215"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35" i="21" s="1"/>
  <c r="O235" i="21" s="1"/>
  <c r="G216" i="20"/>
  <c r="G193" i="17" s="1"/>
  <c r="H31" i="21" s="1"/>
  <c r="O31" i="21" s="1"/>
  <c r="G283" i="20"/>
  <c r="G260" i="17" s="1"/>
  <c r="G347" i="20"/>
  <c r="G324" i="17" s="1"/>
  <c r="G417" i="20"/>
  <c r="G392" i="17" s="1"/>
  <c r="H152" i="21" s="1"/>
  <c r="O152" i="21" s="1"/>
  <c r="G42" i="20"/>
  <c r="G21" i="17" s="1"/>
  <c r="G466" i="20"/>
  <c r="G439" i="17" s="1"/>
  <c r="H90" i="21" s="1"/>
  <c r="O90"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9" i="21" s="1"/>
  <c r="O129"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29" i="21" s="1"/>
  <c r="O229" i="21" s="1"/>
  <c r="G207" i="20"/>
  <c r="G184" i="17" s="1"/>
  <c r="G273" i="20"/>
  <c r="G250" i="17" s="1"/>
  <c r="G338" i="20"/>
  <c r="G315" i="17" s="1"/>
  <c r="G408" i="20"/>
  <c r="G383" i="17" s="1"/>
  <c r="H142" i="21" s="1"/>
  <c r="O142" i="21" s="1"/>
  <c r="G479" i="20"/>
  <c r="G452" i="17" s="1"/>
  <c r="H76" i="21" s="1"/>
  <c r="O76" i="21" s="1"/>
  <c r="G541" i="20"/>
  <c r="G514" i="17" s="1"/>
  <c r="G573" i="20"/>
  <c r="G546" i="17" s="1"/>
  <c r="H100" i="21" s="1"/>
  <c r="O100" i="21" s="1"/>
  <c r="G596" i="19"/>
  <c r="G85" i="20"/>
  <c r="G64" i="17" s="1"/>
  <c r="G154" i="20"/>
  <c r="G133" i="17" s="1"/>
  <c r="G225" i="20"/>
  <c r="G202" i="17" s="1"/>
  <c r="H37" i="21" s="1"/>
  <c r="O37" i="21" s="1"/>
  <c r="G292" i="20"/>
  <c r="G269" i="17" s="1"/>
  <c r="G356" i="20"/>
  <c r="G333" i="17" s="1"/>
  <c r="G426" i="20"/>
  <c r="G401" i="17" s="1"/>
  <c r="G497" i="20"/>
  <c r="G470" i="17" s="1"/>
  <c r="H201" i="21" s="1"/>
  <c r="O201" i="21" s="1"/>
  <c r="G550" i="20"/>
  <c r="G523" i="17" s="1"/>
  <c r="G582" i="20"/>
  <c r="G555" i="17" s="1"/>
  <c r="G586" i="19"/>
  <c r="G87" i="20"/>
  <c r="G66" i="17" s="1"/>
  <c r="G148" i="20"/>
  <c r="G127" i="17" s="1"/>
  <c r="H237" i="21" s="1"/>
  <c r="O237" i="21" s="1"/>
  <c r="G227" i="20"/>
  <c r="G204" i="17" s="1"/>
  <c r="H38" i="21" s="1"/>
  <c r="O38" i="21" s="1"/>
  <c r="G294" i="20"/>
  <c r="G271" i="17" s="1"/>
  <c r="G358" i="20"/>
  <c r="G335" i="17" s="1"/>
  <c r="G420" i="20"/>
  <c r="G395" i="17" s="1"/>
  <c r="H154" i="21" s="1"/>
  <c r="O154" i="21" s="1"/>
  <c r="G483" i="20"/>
  <c r="G456" i="17" s="1"/>
  <c r="H91" i="21" s="1"/>
  <c r="O91" i="21" s="1"/>
  <c r="G543" i="20"/>
  <c r="G516" i="17" s="1"/>
  <c r="G575" i="20"/>
  <c r="G548" i="17" s="1"/>
  <c r="H105" i="21" s="1"/>
  <c r="O105" i="21" s="1"/>
  <c r="O104" i="21" s="1"/>
  <c r="G220" i="20"/>
  <c r="G197" i="17" s="1"/>
  <c r="G287" i="20"/>
  <c r="G264" i="17" s="1"/>
  <c r="G351" i="20"/>
  <c r="G328" i="17" s="1"/>
  <c r="G413" i="20"/>
  <c r="G388" i="17" s="1"/>
  <c r="H145" i="21" s="1"/>
  <c r="O145"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21" i="21" s="1"/>
  <c r="O221"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51" i="21" s="1"/>
  <c r="O151" i="21" s="1"/>
  <c r="G487" i="20"/>
  <c r="G460" i="17" s="1"/>
  <c r="H133" i="21" s="1"/>
  <c r="O133" i="21" s="1"/>
  <c r="G545" i="20"/>
  <c r="G518" i="17" s="1"/>
  <c r="G577" i="20"/>
  <c r="G550" i="17" s="1"/>
  <c r="G588" i="19"/>
  <c r="G92" i="20"/>
  <c r="G71" i="17" s="1"/>
  <c r="G162" i="20"/>
  <c r="G141" i="17" s="1"/>
  <c r="H239" i="21" s="1"/>
  <c r="O239" i="21" s="1"/>
  <c r="G233" i="20"/>
  <c r="G210" i="17" s="1"/>
  <c r="H43" i="21" s="1"/>
  <c r="O43" i="21" s="1"/>
  <c r="G300" i="20"/>
  <c r="G277" i="17" s="1"/>
  <c r="G364" i="20"/>
  <c r="G341" i="17" s="1"/>
  <c r="G434" i="20"/>
  <c r="G409" i="17" s="1"/>
  <c r="H126" i="21" s="1"/>
  <c r="O126" i="21" s="1"/>
  <c r="G505" i="20"/>
  <c r="G478" i="17" s="1"/>
  <c r="H18" i="21" s="1"/>
  <c r="O18" i="21" s="1"/>
  <c r="O17" i="21" s="1"/>
  <c r="G554" i="20"/>
  <c r="G527" i="17" s="1"/>
  <c r="H164" i="21" s="1"/>
  <c r="O164" i="21" s="1"/>
  <c r="O163" i="21" s="1"/>
  <c r="G586" i="20"/>
  <c r="G559" i="17" s="1"/>
  <c r="G37" i="20"/>
  <c r="G18" i="17" s="1"/>
  <c r="H214" i="21" s="1"/>
  <c r="O214" i="21" s="1"/>
  <c r="G94" i="20"/>
  <c r="G73" i="17" s="1"/>
  <c r="G156" i="20"/>
  <c r="G135" i="17" s="1"/>
  <c r="G237" i="20"/>
  <c r="G214" i="17" s="1"/>
  <c r="G302" i="20"/>
  <c r="G279" i="17" s="1"/>
  <c r="G366" i="20"/>
  <c r="G343" i="17" s="1"/>
  <c r="G428" i="20"/>
  <c r="G403" i="17" s="1"/>
  <c r="G491" i="20"/>
  <c r="G464" i="17" s="1"/>
  <c r="H87" i="21" s="1"/>
  <c r="O87" i="21" s="1"/>
  <c r="O86" i="21" s="1"/>
  <c r="G547" i="20"/>
  <c r="G520" i="17" s="1"/>
  <c r="G579" i="20"/>
  <c r="G552" i="17" s="1"/>
  <c r="G228" i="20"/>
  <c r="G205" i="17" s="1"/>
  <c r="H39" i="21" s="1"/>
  <c r="O39" i="21" s="1"/>
  <c r="G295" i="20"/>
  <c r="G272" i="17" s="1"/>
  <c r="G359" i="20"/>
  <c r="G336" i="17" s="1"/>
  <c r="G421" i="20"/>
  <c r="G396" i="17" s="1"/>
  <c r="H155" i="21" s="1"/>
  <c r="O155" i="21" s="1"/>
  <c r="G484" i="20"/>
  <c r="G457" i="17" s="1"/>
  <c r="H95" i="21" s="1"/>
  <c r="O95" i="21" s="1"/>
  <c r="O94" i="21" s="1"/>
  <c r="G621" i="19"/>
  <c r="G60" i="20"/>
  <c r="G39" i="17" s="1"/>
  <c r="G117" i="20"/>
  <c r="G96" i="17" s="1"/>
  <c r="G48" i="19"/>
  <c r="G491" i="19"/>
  <c r="G183" i="20"/>
  <c r="G162" i="17" s="1"/>
  <c r="G447" i="20"/>
  <c r="G422" i="17" s="1"/>
  <c r="H180" i="21" s="1"/>
  <c r="O180"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40" i="21" s="1"/>
  <c r="O240"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99" i="21" s="1"/>
  <c r="O199" i="21" s="1"/>
  <c r="G549" i="20"/>
  <c r="G522" i="17" s="1"/>
  <c r="G581" i="20"/>
  <c r="G554" i="17" s="1"/>
  <c r="G27" i="20"/>
  <c r="G8" i="17" s="1"/>
  <c r="H204" i="21" s="1"/>
  <c r="O204" i="21" s="1"/>
  <c r="G99" i="20"/>
  <c r="G78" i="17" s="1"/>
  <c r="G170" i="20"/>
  <c r="G149" i="17" s="1"/>
  <c r="G243" i="20"/>
  <c r="G220" i="17" s="1"/>
  <c r="G308" i="20"/>
  <c r="G285" i="17" s="1"/>
  <c r="G378" i="20"/>
  <c r="G353" i="17" s="1"/>
  <c r="H220" i="21" s="1"/>
  <c r="O220" i="21" s="1"/>
  <c r="G442" i="20"/>
  <c r="G417" i="17" s="1"/>
  <c r="H176" i="21" s="1"/>
  <c r="O176"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1" i="21" s="1"/>
  <c r="O81" i="21" s="1"/>
  <c r="G551" i="20"/>
  <c r="G524" i="17" s="1"/>
  <c r="G583" i="20"/>
  <c r="G556" i="17" s="1"/>
  <c r="G238" i="20"/>
  <c r="G215" i="17" s="1"/>
  <c r="G303" i="20"/>
  <c r="G280" i="17" s="1"/>
  <c r="G367" i="20"/>
  <c r="G344" i="17" s="1"/>
  <c r="G429" i="20"/>
  <c r="G404" i="17" s="1"/>
  <c r="H47" i="21" s="1"/>
  <c r="O47" i="21" s="1"/>
  <c r="G492" i="20"/>
  <c r="G465" i="17" s="1"/>
  <c r="H85" i="21" s="1"/>
  <c r="O85" i="21" s="1"/>
  <c r="G608" i="19"/>
  <c r="G68" i="20"/>
  <c r="G47" i="17" s="1"/>
  <c r="G125" i="20"/>
  <c r="G104" i="17" s="1"/>
  <c r="G190" i="20"/>
  <c r="G169" i="17" s="1"/>
  <c r="G263" i="20"/>
  <c r="G240" i="17" s="1"/>
  <c r="G328" i="20"/>
  <c r="G305" i="17" s="1"/>
  <c r="G390" i="20"/>
  <c r="G365" i="17" s="1"/>
  <c r="H27" i="21" s="1"/>
  <c r="O27" i="21" s="1"/>
  <c r="G454" i="20"/>
  <c r="G429" i="17" s="1"/>
  <c r="H186" i="21" s="1"/>
  <c r="O186"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209" i="21" s="1"/>
  <c r="O209" i="21" s="1"/>
  <c r="G437" i="19"/>
  <c r="G161" i="20"/>
  <c r="G140" i="17" s="1"/>
  <c r="G355" i="20"/>
  <c r="G332" i="17" s="1"/>
  <c r="G84" i="20"/>
  <c r="G63" i="17" s="1"/>
  <c r="G391" i="19"/>
  <c r="G548" i="19"/>
  <c r="G179" i="20"/>
  <c r="G158" i="17" s="1"/>
  <c r="G301" i="20"/>
  <c r="G278" i="17" s="1"/>
  <c r="G395" i="20"/>
  <c r="G370" i="17" s="1"/>
  <c r="H110" i="21" s="1"/>
  <c r="O110" i="21" s="1"/>
  <c r="G497" i="19"/>
  <c r="G36" i="20"/>
  <c r="G17" i="17" s="1"/>
  <c r="H213" i="21" s="1"/>
  <c r="O213"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60" i="21" s="1"/>
  <c r="O160" i="21" s="1"/>
  <c r="G553" i="20"/>
  <c r="G526" i="17" s="1"/>
  <c r="H162" i="21" s="1"/>
  <c r="O162" i="21" s="1"/>
  <c r="G585" i="20"/>
  <c r="G558" i="17" s="1"/>
  <c r="G35" i="20"/>
  <c r="G16" i="17" s="1"/>
  <c r="H212" i="21" s="1"/>
  <c r="O212" i="21" s="1"/>
  <c r="G113" i="20"/>
  <c r="G92" i="17" s="1"/>
  <c r="G178" i="20"/>
  <c r="G157" i="17" s="1"/>
  <c r="G251" i="20"/>
  <c r="G228" i="17" s="1"/>
  <c r="G316" i="20"/>
  <c r="G293" i="17" s="1"/>
  <c r="G386" i="20"/>
  <c r="G361" i="17" s="1"/>
  <c r="H24" i="21" s="1"/>
  <c r="O24" i="21" s="1"/>
  <c r="G450" i="20"/>
  <c r="G425" i="17" s="1"/>
  <c r="H183" i="21" s="1"/>
  <c r="O183" i="21" s="1"/>
  <c r="G526" i="20"/>
  <c r="G499" i="17" s="1"/>
  <c r="G562" i="20"/>
  <c r="G535" i="17" s="1"/>
  <c r="G628" i="19"/>
  <c r="G52" i="20"/>
  <c r="G31" i="17" s="1"/>
  <c r="G107" i="20"/>
  <c r="G86" i="17" s="1"/>
  <c r="G172" i="20"/>
  <c r="G151" i="17" s="1"/>
  <c r="G253" i="20"/>
  <c r="G230" i="17" s="1"/>
  <c r="G318" i="20"/>
  <c r="G295" i="17" s="1"/>
  <c r="G380" i="20"/>
  <c r="G355" i="17" s="1"/>
  <c r="H222" i="21" s="1"/>
  <c r="O222" i="21" s="1"/>
  <c r="G444" i="20"/>
  <c r="G419" i="17" s="1"/>
  <c r="H178" i="21" s="1"/>
  <c r="O178" i="21" s="1"/>
  <c r="G507" i="20"/>
  <c r="G480" i="17" s="1"/>
  <c r="H189" i="21" s="1"/>
  <c r="O189" i="21" s="1"/>
  <c r="G555" i="20"/>
  <c r="G528" i="17" s="1"/>
  <c r="G587" i="20"/>
  <c r="G560" i="17" s="1"/>
  <c r="G246" i="20"/>
  <c r="G223" i="17" s="1"/>
  <c r="G311" i="20"/>
  <c r="G288" i="17" s="1"/>
  <c r="G373" i="20"/>
  <c r="G348" i="17" s="1"/>
  <c r="G437" i="20"/>
  <c r="G412" i="17" s="1"/>
  <c r="G500" i="20"/>
  <c r="G473" i="17" s="1"/>
  <c r="H82" i="21" s="1"/>
  <c r="O82" i="21" s="1"/>
  <c r="G600" i="19"/>
  <c r="G75" i="20"/>
  <c r="G54" i="17" s="1"/>
  <c r="G134" i="20"/>
  <c r="G113" i="17" s="1"/>
  <c r="G205" i="20"/>
  <c r="G182" i="17" s="1"/>
  <c r="G271" i="20"/>
  <c r="G248" i="17" s="1"/>
  <c r="G336" i="20"/>
  <c r="G313" i="17" s="1"/>
  <c r="G398" i="20"/>
  <c r="G373" i="17" s="1"/>
  <c r="H113" i="21" s="1"/>
  <c r="O113" i="21" s="1"/>
  <c r="G462" i="20"/>
  <c r="G435" i="17" s="1"/>
  <c r="H66" i="21" s="1"/>
  <c r="O66" i="21" s="1"/>
  <c r="G530" i="20"/>
  <c r="G503" i="17" s="1"/>
  <c r="G564" i="20"/>
  <c r="G537" i="17" s="1"/>
  <c r="G568" i="20"/>
  <c r="G541" i="17" s="1"/>
  <c r="G572" i="20"/>
  <c r="G545" i="17" s="1"/>
  <c r="H99" i="21" s="1"/>
  <c r="O99"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48" i="21" s="1"/>
  <c r="O148" i="21" s="1"/>
  <c r="G415" i="19"/>
  <c r="G552" i="19"/>
  <c r="G187" i="20"/>
  <c r="G166" i="17" s="1"/>
  <c r="G309" i="20"/>
  <c r="G286" i="17" s="1"/>
  <c r="G403" i="20"/>
  <c r="G378"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9" i="21" s="1"/>
  <c r="O109" i="21" s="1"/>
  <c r="G458" i="20"/>
  <c r="G431" i="17" s="1"/>
  <c r="H62" i="21" s="1"/>
  <c r="O62" i="21" s="1"/>
  <c r="G534" i="20"/>
  <c r="G507" i="17" s="1"/>
  <c r="G566" i="20"/>
  <c r="G539" i="17" s="1"/>
  <c r="G617" i="19"/>
  <c r="G58" i="20"/>
  <c r="G37" i="17" s="1"/>
  <c r="G115" i="20"/>
  <c r="G94" i="17" s="1"/>
  <c r="G180" i="20"/>
  <c r="G159" i="17" s="1"/>
  <c r="H242" i="21" s="1"/>
  <c r="O242"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90" i="21" s="1"/>
  <c r="O190" i="21" s="1"/>
  <c r="G592" i="19"/>
  <c r="G81" i="20"/>
  <c r="G60" i="17" s="1"/>
  <c r="G142" i="20"/>
  <c r="G121" i="17" s="1"/>
  <c r="G213" i="20"/>
  <c r="G190" i="17" s="1"/>
  <c r="G280" i="20"/>
  <c r="G257" i="17" s="1"/>
  <c r="G344" i="20"/>
  <c r="G321" i="17" s="1"/>
  <c r="G406" i="20"/>
  <c r="G381" i="17" s="1"/>
  <c r="H139" i="21" s="1"/>
  <c r="O139" i="21" s="1"/>
  <c r="O138"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8" i="21" s="1"/>
  <c r="O108" i="21" s="1"/>
  <c r="G482" i="20"/>
  <c r="G455" i="17" s="1"/>
  <c r="H97" i="21" s="1"/>
  <c r="O97" i="21" s="1"/>
  <c r="O96" i="21" s="1"/>
  <c r="G448" i="19"/>
  <c r="G564" i="19"/>
  <c r="G202" i="20"/>
  <c r="G181" i="17" s="1"/>
  <c r="G317" i="20"/>
  <c r="G294" i="17" s="1"/>
  <c r="G435" i="20"/>
  <c r="G410"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41" i="21" s="1"/>
  <c r="O241" i="21" s="1"/>
  <c r="G249" i="20"/>
  <c r="G226" i="17" s="1"/>
  <c r="G314" i="20"/>
  <c r="G291" i="17" s="1"/>
  <c r="G384" i="20"/>
  <c r="G359" i="17" s="1"/>
  <c r="G448" i="20"/>
  <c r="G423" i="17" s="1"/>
  <c r="H181" i="21" s="1"/>
  <c r="O181" i="21" s="1"/>
  <c r="G519" i="20"/>
  <c r="G492" i="17" s="1"/>
  <c r="H60" i="21" s="1"/>
  <c r="O60" i="21" s="1"/>
  <c r="G561" i="20"/>
  <c r="G534" i="17" s="1"/>
  <c r="G623" i="19"/>
  <c r="G50" i="20"/>
  <c r="G29" i="17" s="1"/>
  <c r="G130" i="20"/>
  <c r="G109" i="17" s="1"/>
  <c r="G194" i="20"/>
  <c r="G173" i="17" s="1"/>
  <c r="G267" i="20"/>
  <c r="G244" i="17" s="1"/>
  <c r="G332" i="20"/>
  <c r="G309" i="17" s="1"/>
  <c r="G402" i="20"/>
  <c r="G377" i="17" s="1"/>
  <c r="H117" i="21" s="1"/>
  <c r="O117" i="21" s="1"/>
  <c r="G473" i="20"/>
  <c r="G446" i="17" s="1"/>
  <c r="H147" i="21" s="1"/>
  <c r="O147" i="21" s="1"/>
  <c r="G538" i="20"/>
  <c r="G511" i="17" s="1"/>
  <c r="G570" i="20"/>
  <c r="G543" i="17" s="1"/>
  <c r="G610" i="19"/>
  <c r="G66" i="20"/>
  <c r="G45" i="17" s="1"/>
  <c r="G123" i="20"/>
  <c r="G102" i="17" s="1"/>
  <c r="G188" i="20"/>
  <c r="G167" i="17" s="1"/>
  <c r="G269" i="20"/>
  <c r="G246" i="17" s="1"/>
  <c r="G334" i="20"/>
  <c r="G311" i="17" s="1"/>
  <c r="G396" i="20"/>
  <c r="G371" i="17" s="1"/>
  <c r="H111" i="21" s="1"/>
  <c r="O111"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85" i="21" s="1"/>
  <c r="O185" i="21" s="1"/>
  <c r="G516" i="20"/>
  <c r="G489" i="17" s="1"/>
  <c r="H57" i="21" s="1"/>
  <c r="O57" i="21" s="1"/>
  <c r="G584" i="19"/>
  <c r="G150" i="20"/>
  <c r="G129" i="17" s="1"/>
  <c r="H238" i="21" s="1"/>
  <c r="O238" i="21" s="1"/>
  <c r="G221" i="20"/>
  <c r="G198" i="17" s="1"/>
  <c r="G288" i="20"/>
  <c r="G265" i="17" s="1"/>
  <c r="G352" i="20"/>
  <c r="G329" i="17" s="1"/>
  <c r="G414" i="20"/>
  <c r="G389" i="17" s="1"/>
  <c r="H194" i="21" s="1"/>
  <c r="O194" i="21" s="1"/>
  <c r="G477" i="20"/>
  <c r="G450" i="17" s="1"/>
  <c r="H136" i="21" s="1"/>
  <c r="O136" i="21" s="1"/>
  <c r="O135"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88" i="21" s="1"/>
  <c r="O188" i="21" s="1"/>
  <c r="G456" i="19"/>
  <c r="G624" i="19"/>
  <c r="G236" i="20"/>
  <c r="G213" i="17" s="1"/>
  <c r="G325" i="20"/>
  <c r="G302" i="17" s="1"/>
  <c r="G443" i="20"/>
  <c r="G418" i="17" s="1"/>
  <c r="H177" i="21" s="1"/>
  <c r="O177"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15" i="21" s="1"/>
  <c r="O115" i="21" s="1"/>
  <c r="G604" i="19"/>
  <c r="G284" i="20"/>
  <c r="G261" i="17" s="1"/>
  <c r="G546" i="20"/>
  <c r="G519" i="17" s="1"/>
  <c r="G140" i="20"/>
  <c r="G119" i="17" s="1"/>
  <c r="H233" i="21" s="1"/>
  <c r="O233" i="21" s="1"/>
  <c r="G412" i="20"/>
  <c r="G387" i="17" s="1"/>
  <c r="H144" i="21" s="1"/>
  <c r="O144" i="21" s="1"/>
  <c r="G212" i="20"/>
  <c r="G189" i="17" s="1"/>
  <c r="G468" i="20"/>
  <c r="G441" i="17" s="1"/>
  <c r="H71" i="21" s="1"/>
  <c r="O71" i="21" s="1"/>
  <c r="G166" i="20"/>
  <c r="G145" i="17" s="1"/>
  <c r="G422" i="20"/>
  <c r="G397" i="17" s="1"/>
  <c r="H156" i="21" s="1"/>
  <c r="O156"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73" i="21" s="1"/>
  <c r="O173" i="21" s="1"/>
  <c r="O172" i="21" s="1"/>
  <c r="G211" i="20"/>
  <c r="G188" i="17" s="1"/>
  <c r="G467" i="20"/>
  <c r="G440" i="17" s="1"/>
  <c r="H70" i="21" s="1"/>
  <c r="O70" i="21" s="1"/>
  <c r="G270" i="20"/>
  <c r="G247" i="17" s="1"/>
  <c r="G529" i="20"/>
  <c r="G502" i="17" s="1"/>
  <c r="G229" i="20"/>
  <c r="G206" i="17" s="1"/>
  <c r="H40" i="21" s="1"/>
  <c r="O40" i="21" s="1"/>
  <c r="G430" i="20"/>
  <c r="G405" i="17" s="1"/>
  <c r="H124" i="21" s="1"/>
  <c r="O124" i="21" s="1"/>
  <c r="G576" i="20"/>
  <c r="G549" i="17" s="1"/>
  <c r="H166" i="21" s="1"/>
  <c r="O166" i="21" s="1"/>
  <c r="O165" i="21" s="1"/>
  <c r="G446" i="20"/>
  <c r="G421" i="17" s="1"/>
  <c r="H179" i="21" s="1"/>
  <c r="O179" i="21" s="1"/>
  <c r="G304" i="20"/>
  <c r="G281" i="17" s="1"/>
  <c r="G76" i="19"/>
  <c r="G565" i="20"/>
  <c r="G538" i="17" s="1"/>
  <c r="G397" i="20"/>
  <c r="G372" i="17" s="1"/>
  <c r="H112" i="21" s="1"/>
  <c r="O112" i="21" s="1"/>
  <c r="G119" i="20"/>
  <c r="G98" i="17" s="1"/>
  <c r="G404" i="20"/>
  <c r="G379" i="17" s="1"/>
  <c r="H119" i="21" s="1"/>
  <c r="O119"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9" i="21" s="1"/>
  <c r="O149" i="21" s="1"/>
  <c r="G278" i="20"/>
  <c r="G255" i="17" s="1"/>
  <c r="G632" i="19"/>
  <c r="G239" i="20"/>
  <c r="G216" i="17" s="1"/>
  <c r="G580" i="20"/>
  <c r="G553" i="17" s="1"/>
  <c r="G84" i="19"/>
  <c r="G33" i="20"/>
  <c r="G14" i="17" s="1"/>
  <c r="H210" i="21" s="1"/>
  <c r="O210"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31" i="21" s="1"/>
  <c r="O231" i="21" s="1"/>
  <c r="G410" i="20"/>
  <c r="G385" i="17" s="1"/>
  <c r="H193" i="21" s="1"/>
  <c r="O193" i="21" s="1"/>
  <c r="G602" i="19"/>
  <c r="G277" i="20"/>
  <c r="G254" i="17" s="1"/>
  <c r="G535" i="20"/>
  <c r="G508" i="17" s="1"/>
  <c r="G335" i="20"/>
  <c r="G312" i="17" s="1"/>
  <c r="G31" i="20"/>
  <c r="G12" i="17" s="1"/>
  <c r="H208" i="21" s="1"/>
  <c r="O208" i="21" s="1"/>
  <c r="G296" i="20"/>
  <c r="G273" i="17" s="1"/>
  <c r="G485" i="20"/>
  <c r="G458" i="17" s="1"/>
  <c r="H130" i="21" s="1"/>
  <c r="O130" i="21" s="1"/>
  <c r="G377" i="19"/>
  <c r="G481" i="20"/>
  <c r="G454" i="17" s="1"/>
  <c r="H122" i="21" s="1"/>
  <c r="O122" i="21" s="1"/>
  <c r="O121" i="21" s="1"/>
  <c r="G392" i="20"/>
  <c r="G367" i="17" s="1"/>
  <c r="H107" i="21" s="1"/>
  <c r="O107" i="21" s="1"/>
  <c r="G189" i="20"/>
  <c r="G168" i="17" s="1"/>
  <c r="G283" i="19"/>
  <c r="G239" i="19"/>
  <c r="G106" i="20"/>
  <c r="G85" i="17" s="1"/>
  <c r="G312" i="19"/>
  <c r="G519" i="19"/>
  <c r="G537" i="20"/>
  <c r="G510" i="17" s="1"/>
  <c r="G146" i="20"/>
  <c r="G125" i="17" s="1"/>
  <c r="H236" i="21" s="1"/>
  <c r="O236" i="21" s="1"/>
  <c r="G418" i="20"/>
  <c r="G393" i="17" s="1"/>
  <c r="H153" i="21" s="1"/>
  <c r="O153" i="21" s="1"/>
  <c r="G594" i="19"/>
  <c r="G286" i="20"/>
  <c r="G263" i="17" s="1"/>
  <c r="G539" i="20"/>
  <c r="G512" i="17" s="1"/>
  <c r="G343" i="20"/>
  <c r="G320" i="17" s="1"/>
  <c r="G46" i="20"/>
  <c r="G25" i="17" s="1"/>
  <c r="G493" i="20"/>
  <c r="G466" i="17" s="1"/>
  <c r="H197" i="21" s="1"/>
  <c r="O197"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101" i="21" s="1"/>
  <c r="O101" i="21" s="1"/>
  <c r="G79" i="20"/>
  <c r="G58" i="17" s="1"/>
  <c r="G350" i="20"/>
  <c r="G327" i="17" s="1"/>
  <c r="G571" i="20"/>
  <c r="G544" i="17" s="1"/>
  <c r="H103" i="21" s="1"/>
  <c r="O103" i="21" s="1"/>
  <c r="O102" i="21" s="1"/>
  <c r="G405" i="20"/>
  <c r="G380" i="17" s="1"/>
  <c r="H120" i="21" s="1"/>
  <c r="O120" i="21" s="1"/>
  <c r="G103" i="20"/>
  <c r="G82" i="17" s="1"/>
  <c r="G368" i="20"/>
  <c r="G345" i="17" s="1"/>
  <c r="G544" i="20"/>
  <c r="G517" i="17" s="1"/>
  <c r="G116" i="19"/>
  <c r="G543" i="19"/>
  <c r="G451" i="20"/>
  <c r="G426" i="17" s="1"/>
  <c r="H184" i="21" s="1"/>
  <c r="O184" i="21" s="1"/>
  <c r="G506" i="19"/>
  <c r="G132" i="20"/>
  <c r="G111" i="17" s="1"/>
  <c r="G29" i="20"/>
  <c r="G10" i="17" s="1"/>
  <c r="H206" i="21" s="1"/>
  <c r="O206"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42" i="1"/>
  <c r="J627" i="1"/>
  <c r="J619" i="1"/>
  <c r="J611" i="1"/>
  <c r="J603" i="1"/>
  <c r="J589" i="1"/>
  <c r="J581" i="1"/>
  <c r="J573" i="1"/>
  <c r="J565" i="1"/>
  <c r="J557" i="1"/>
  <c r="J549" i="1"/>
  <c r="J373" i="1"/>
  <c r="J628" i="1"/>
  <c r="J612" i="1"/>
  <c r="J596" i="1"/>
  <c r="J574" i="1"/>
  <c r="J550" i="1"/>
  <c r="J1140"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119" i="1"/>
  <c r="J1281" i="1"/>
  <c r="J1289" i="1"/>
  <c r="J1258" i="1"/>
  <c r="J1266" i="1"/>
  <c r="J1274" i="1"/>
  <c r="J1120" i="1"/>
  <c r="J1276" i="1"/>
  <c r="J1284" i="1"/>
  <c r="J1292" i="1"/>
  <c r="J1261" i="1"/>
  <c r="J1269" i="1"/>
  <c r="J1277" i="1"/>
  <c r="J1270" i="1"/>
  <c r="J1110" i="1"/>
  <c r="J1279" i="1"/>
  <c r="J1264" i="1"/>
  <c r="J1272" i="1"/>
  <c r="J1121" i="1"/>
  <c r="J1288" i="1"/>
  <c r="J1265" i="1"/>
  <c r="J1306" i="1"/>
  <c r="J1300" i="1"/>
  <c r="J1282" i="1"/>
  <c r="J1290" i="1"/>
  <c r="J1259" i="1"/>
  <c r="J1267" i="1"/>
  <c r="J1275" i="1"/>
  <c r="J1299" i="1"/>
  <c r="J1283" i="1"/>
  <c r="J1291" i="1"/>
  <c r="J1260" i="1"/>
  <c r="J1268" i="1"/>
  <c r="J1307" i="1"/>
  <c r="J1118" i="1"/>
  <c r="J1285" i="1"/>
  <c r="J1262" i="1"/>
  <c r="J1287" i="1"/>
  <c r="J1280" i="1"/>
  <c r="J1257" i="1"/>
  <c r="J1273" i="1"/>
  <c r="J1308" i="1"/>
  <c r="J1301" i="1"/>
  <c r="J1309" i="1"/>
  <c r="J1302" i="1"/>
  <c r="J1310" i="1"/>
  <c r="J1117"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34"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57"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295"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55" i="1"/>
  <c r="J1139" i="1"/>
  <c r="J1170" i="1"/>
  <c r="J1192" i="1"/>
  <c r="J1230" i="1"/>
  <c r="J1249" i="1"/>
  <c r="J27" i="1"/>
  <c r="J1034" i="1"/>
  <c r="J1058" i="1"/>
  <c r="J1082" i="1"/>
  <c r="J1115" i="1"/>
  <c r="J1126" i="1"/>
  <c r="J1159" i="1"/>
  <c r="J1183" i="1"/>
  <c r="J1207" i="1"/>
  <c r="J1246" i="1"/>
  <c r="J1016" i="1"/>
  <c r="J1040" i="1"/>
  <c r="J1090" i="1"/>
  <c r="J1123" i="1"/>
  <c r="J1186" i="1"/>
  <c r="J1254" i="1"/>
  <c r="J1018" i="1"/>
  <c r="J1071" i="1"/>
  <c r="J1143" i="1"/>
  <c r="J1231" i="1"/>
  <c r="J1015" i="1"/>
  <c r="J1039" i="1"/>
  <c r="J1063" i="1"/>
  <c r="J1088" i="1"/>
  <c r="J1116" i="1"/>
  <c r="J1127" i="1"/>
  <c r="J1160" i="1"/>
  <c r="J1184" i="1"/>
  <c r="J1208" i="1"/>
  <c r="J1247" i="1"/>
  <c r="J14" i="1"/>
  <c r="J1066" i="1"/>
  <c r="J1153" i="1"/>
  <c r="J1162" i="1"/>
  <c r="J1210" i="1"/>
  <c r="J1047" i="1"/>
  <c r="J114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41" i="1"/>
  <c r="J1145" i="1"/>
  <c r="J1122" i="1"/>
  <c r="J1156" i="1"/>
  <c r="J1151" i="1"/>
  <c r="J1152"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38" i="1"/>
  <c r="J1148" i="1"/>
  <c r="J1125" i="1"/>
  <c r="J1294" i="1"/>
  <c r="J1113" i="1"/>
  <c r="J1114"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33" i="1"/>
  <c r="J1137" i="1"/>
  <c r="J1147" i="1"/>
  <c r="J1130" i="1"/>
  <c r="J1293" i="1"/>
  <c r="J1112"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32" i="1"/>
  <c r="J1136" i="1"/>
  <c r="J1146" i="1"/>
  <c r="J1129" i="1"/>
  <c r="J1298" i="1"/>
  <c r="J1111"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31" i="1"/>
  <c r="J1135" i="1"/>
  <c r="J1124" i="1"/>
  <c r="J1128" i="1"/>
  <c r="J1297" i="1"/>
  <c r="J1154" i="1"/>
  <c r="J1107" i="1"/>
  <c r="J1099" i="1"/>
  <c r="J1091" i="1"/>
  <c r="J1083" i="1"/>
  <c r="J1075" i="1"/>
  <c r="J1067" i="1"/>
  <c r="J1059" i="1"/>
  <c r="J1051" i="1"/>
  <c r="J1043" i="1"/>
  <c r="J1035" i="1"/>
  <c r="J1027" i="1"/>
  <c r="J1019" i="1"/>
  <c r="J30" i="1"/>
  <c r="J22" i="1"/>
  <c r="O168" i="21" l="1"/>
  <c r="O140" i="21"/>
  <c r="O150" i="21"/>
  <c r="O146" i="21" s="1"/>
  <c r="O159" i="21"/>
  <c r="O131" i="21"/>
  <c r="O128" i="21"/>
  <c r="O83" i="21"/>
  <c r="U24" i="15"/>
  <c r="V24" i="15" s="1"/>
  <c r="U20" i="15"/>
  <c r="V20" i="15" s="1"/>
  <c r="U63" i="15"/>
  <c r="F45" i="15" s="1"/>
  <c r="U67" i="15"/>
  <c r="V67" i="15" s="1"/>
  <c r="U71" i="15"/>
  <c r="V71" i="15" s="1"/>
  <c r="U23" i="15"/>
  <c r="V23" i="15" s="1"/>
  <c r="U19" i="15"/>
  <c r="V19" i="15" s="1"/>
  <c r="U64" i="15"/>
  <c r="U68" i="15"/>
  <c r="V68" i="15" s="1"/>
  <c r="U22" i="15"/>
  <c r="V22" i="15" s="1"/>
  <c r="U18" i="15"/>
  <c r="V18" i="15" s="1"/>
  <c r="U65" i="15"/>
  <c r="U69" i="15"/>
  <c r="V69" i="15" s="1"/>
  <c r="U25" i="15"/>
  <c r="V25" i="15" s="1"/>
  <c r="U21" i="15"/>
  <c r="V21" i="15" s="1"/>
  <c r="U17" i="15"/>
  <c r="U66" i="15"/>
  <c r="V66" i="15" s="1"/>
  <c r="U70" i="15"/>
  <c r="V70" i="15" s="1"/>
  <c r="O123" i="21"/>
  <c r="O106" i="21"/>
  <c r="O88" i="21"/>
  <c r="O61" i="21"/>
  <c r="O46" i="21"/>
  <c r="H225" i="21"/>
  <c r="O225" i="21" s="1"/>
  <c r="H224" i="21"/>
  <c r="O224" i="21" s="1"/>
  <c r="H226" i="21"/>
  <c r="O226" i="21" s="1"/>
  <c r="O50" i="21"/>
  <c r="O98" i="21"/>
  <c r="O19" i="21"/>
  <c r="O218" i="21"/>
  <c r="O196" i="21"/>
  <c r="O77" i="21"/>
  <c r="O191" i="21"/>
  <c r="O28" i="21"/>
  <c r="O80" i="21"/>
  <c r="O187" i="21"/>
  <c r="O227" i="21"/>
  <c r="O203" i="21"/>
  <c r="N588" i="20"/>
  <c r="N591" i="20"/>
  <c r="N589" i="20"/>
  <c r="N590" i="20"/>
  <c r="U125" i="15"/>
  <c r="V125" i="15" s="1"/>
  <c r="U90" i="15"/>
  <c r="V9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128" i="15"/>
  <c r="V128" i="15" s="1"/>
  <c r="U127" i="15"/>
  <c r="V127" i="15" s="1"/>
  <c r="U126" i="15"/>
  <c r="V126" i="15" s="1"/>
  <c r="U122" i="15"/>
  <c r="F47" i="15" s="1"/>
  <c r="U124" i="15"/>
  <c r="U123" i="15"/>
  <c r="U130" i="15"/>
  <c r="V130" i="15" s="1"/>
  <c r="U129" i="15"/>
  <c r="V129"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87" i="15"/>
  <c r="F46" i="15" s="1"/>
  <c r="U92" i="15"/>
  <c r="V92" i="15" s="1"/>
  <c r="U93" i="15"/>
  <c r="V93" i="15" s="1"/>
  <c r="U88" i="15"/>
  <c r="U89" i="15"/>
  <c r="U94" i="15"/>
  <c r="V94" i="15" s="1"/>
  <c r="U91" i="15"/>
  <c r="V91" i="15" s="1"/>
  <c r="U95" i="15"/>
  <c r="V95" i="15" s="1"/>
  <c r="V64" i="15" l="1"/>
  <c r="E45" i="15"/>
  <c r="F48" i="15"/>
  <c r="V89" i="15"/>
  <c r="V124" i="15"/>
  <c r="V65" i="15"/>
  <c r="V88" i="15"/>
  <c r="E46" i="15"/>
  <c r="V123" i="15"/>
  <c r="E47" i="15"/>
  <c r="U26" i="15"/>
  <c r="V17" i="15"/>
  <c r="O223"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87" i="15"/>
  <c r="U96" i="15"/>
  <c r="D46" i="15" s="1"/>
  <c r="V122" i="15"/>
  <c r="U131" i="15"/>
  <c r="V63" i="15"/>
  <c r="U72" i="15"/>
  <c r="G46" i="15" l="1"/>
  <c r="D125" i="15"/>
  <c r="D47" i="15"/>
  <c r="D66" i="15"/>
  <c r="D45" i="15"/>
  <c r="G45" i="15" s="1"/>
  <c r="M48" i="15"/>
  <c r="E48" i="15"/>
  <c r="L371" i="20"/>
  <c r="N371" i="20" s="1"/>
  <c r="Q456" i="20"/>
  <c r="N456" i="20"/>
  <c r="Q371" i="20"/>
  <c r="Q40" i="20"/>
  <c r="K40" i="20"/>
  <c r="L40" i="20" s="1"/>
  <c r="N40" i="20" s="1"/>
  <c r="N25" i="20"/>
  <c r="J583" i="19"/>
  <c r="L583" i="19" s="1"/>
  <c r="J27" i="19"/>
  <c r="I25" i="19"/>
  <c r="J24" i="20"/>
  <c r="J594" i="20" s="1"/>
  <c r="Q25" i="20"/>
  <c r="I24" i="20"/>
  <c r="D90" i="15"/>
  <c r="D48" i="15" l="1"/>
  <c r="F49" i="15" s="1"/>
  <c r="G47" i="15"/>
  <c r="G48" i="15" s="1"/>
  <c r="K24" i="20"/>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E49" i="15" l="1"/>
  <c r="E50" i="15"/>
  <c r="G50" i="15"/>
  <c r="G49" i="15"/>
  <c r="N24" i="20"/>
  <c r="N594"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CE15" i="21"/>
  <c r="BX12" i="20"/>
  <c r="BX9" i="20"/>
  <c r="BY13" i="20"/>
  <c r="CF16" i="21" l="1"/>
  <c r="BZ13" i="20"/>
  <c r="BY12" i="20"/>
  <c r="BY9" i="20"/>
  <c r="CG16" i="21" l="1"/>
  <c r="CF15" i="21"/>
  <c r="BZ9" i="20"/>
  <c r="CA13" i="20"/>
  <c r="BZ12" i="20"/>
  <c r="CH16" i="21" l="1"/>
  <c r="CG15" i="21"/>
  <c r="CB13" i="20"/>
  <c r="CA12" i="20"/>
  <c r="CA9" i="20"/>
  <c r="CI16" i="21" l="1"/>
  <c r="CH15" i="21"/>
  <c r="L132" i="21" a="1"/>
  <c r="L132" i="21" s="1"/>
  <c r="M136" i="21" a="1"/>
  <c r="M136" i="21" s="1"/>
  <c r="N102" i="21" a="1"/>
  <c r="N102" i="21" s="1"/>
  <c r="L105" i="21" a="1"/>
  <c r="L105" i="21" s="1"/>
  <c r="N94" i="21" a="1"/>
  <c r="N94" i="21" s="1"/>
  <c r="L93" i="21" a="1"/>
  <c r="L93" i="21" s="1"/>
  <c r="L85" i="21" a="1"/>
  <c r="L85" i="21" s="1"/>
  <c r="M84" i="21" a="1"/>
  <c r="M84" i="21" s="1"/>
  <c r="N174" i="21" a="1"/>
  <c r="N174" i="21" s="1"/>
  <c r="N123" i="21" a="1"/>
  <c r="N123" i="21" s="1"/>
  <c r="N46" i="21" a="1"/>
  <c r="N46" i="21" s="1"/>
  <c r="N88" i="21" a="1"/>
  <c r="N88" i="21" s="1"/>
  <c r="N223" i="21" a="1"/>
  <c r="N223" i="21" s="1"/>
  <c r="N172" i="21" a="1"/>
  <c r="N172" i="21" s="1"/>
  <c r="N216" i="21" a="1"/>
  <c r="N216" i="21" s="1"/>
  <c r="N50" i="21" a="1"/>
  <c r="N50" i="21" s="1"/>
  <c r="N121" i="21" a="1"/>
  <c r="N121" i="21" s="1"/>
  <c r="M63" i="21" a="1"/>
  <c r="M63" i="21" s="1"/>
  <c r="M73" i="21" a="1"/>
  <c r="M73" i="21" s="1"/>
  <c r="L62" i="21" a="1"/>
  <c r="L62" i="21" s="1"/>
  <c r="M62" i="21" a="1"/>
  <c r="M62" i="21" s="1"/>
  <c r="M71" i="21" a="1"/>
  <c r="M71" i="21" s="1"/>
  <c r="M69" i="21" a="1"/>
  <c r="M69" i="21" s="1"/>
  <c r="L68" i="21" a="1"/>
  <c r="L68" i="21" s="1"/>
  <c r="L76" i="21" a="1"/>
  <c r="L76" i="21" s="1"/>
  <c r="L66" i="21" a="1"/>
  <c r="L66" i="21" s="1"/>
  <c r="L75" i="21" a="1"/>
  <c r="L75" i="21" s="1"/>
  <c r="M48" i="21" a="1"/>
  <c r="M48" i="21" s="1"/>
  <c r="L47" i="21" a="1"/>
  <c r="L47" i="21" s="1"/>
  <c r="M47" i="21" a="1"/>
  <c r="M47" i="21" s="1"/>
  <c r="L225" i="21" a="1"/>
  <c r="L225" i="21" s="1"/>
  <c r="L101" i="21" a="1"/>
  <c r="L101" i="21" s="1"/>
  <c r="M224" i="21" a="1"/>
  <c r="M224" i="21" s="1"/>
  <c r="M223" i="21" s="1"/>
  <c r="M226" i="21" a="1"/>
  <c r="M226" i="21" s="1"/>
  <c r="M250" i="21" a="1"/>
  <c r="M250" i="21" s="1"/>
  <c r="M101" i="21" a="1"/>
  <c r="M101" i="21" s="1"/>
  <c r="L233" i="21" a="1"/>
  <c r="L233" i="21" s="1"/>
  <c r="L45" i="21" a="1"/>
  <c r="L45" i="21" s="1"/>
  <c r="M148" i="21" a="1"/>
  <c r="M148" i="21" s="1"/>
  <c r="L217" i="21" a="1"/>
  <c r="L217" i="21" s="1"/>
  <c r="M217" i="21" a="1"/>
  <c r="M217" i="21" s="1"/>
  <c r="M193" i="21" a="1"/>
  <c r="M193" i="21" s="1"/>
  <c r="M179" i="21" a="1"/>
  <c r="M179" i="21" s="1"/>
  <c r="M91" i="21" a="1"/>
  <c r="M91" i="21" s="1"/>
  <c r="L176" i="21" a="1"/>
  <c r="L176" i="21" s="1"/>
  <c r="M149" i="21" a="1"/>
  <c r="M149" i="21" s="1"/>
  <c r="L170" i="21" a="1"/>
  <c r="L170" i="21" s="1"/>
  <c r="M52" i="21" a="1"/>
  <c r="M52" i="21" s="1"/>
  <c r="M119" i="21" a="1"/>
  <c r="M119" i="21" s="1"/>
  <c r="L51" i="21" a="1"/>
  <c r="L51" i="21" s="1"/>
  <c r="M115" i="21" a="1"/>
  <c r="M115" i="21" s="1"/>
  <c r="L125" i="21" a="1"/>
  <c r="L125" i="21" s="1"/>
  <c r="L122" i="21" a="1"/>
  <c r="L122" i="21" s="1"/>
  <c r="L89" i="21" a="1"/>
  <c r="L89" i="21" s="1"/>
  <c r="M56" i="21" a="1"/>
  <c r="M56" i="21" s="1"/>
  <c r="M25" i="21" a="1"/>
  <c r="M25" i="21" s="1"/>
  <c r="M178" i="21" a="1"/>
  <c r="M178" i="21" s="1"/>
  <c r="M251" i="21" a="1"/>
  <c r="M251" i="21" s="1"/>
  <c r="L171" i="21" a="1"/>
  <c r="L171" i="21" s="1"/>
  <c r="L160" i="21" a="1"/>
  <c r="L160" i="21" s="1"/>
  <c r="M190" i="21" a="1"/>
  <c r="M190" i="21" s="1"/>
  <c r="M109" i="21" a="1"/>
  <c r="M109" i="21" s="1"/>
  <c r="M197" i="21" a="1"/>
  <c r="M197" i="21" s="1"/>
  <c r="L149" i="21" a="1"/>
  <c r="L149" i="21" s="1"/>
  <c r="L219" i="21" a="1"/>
  <c r="L219" i="21" s="1"/>
  <c r="M110" i="21" a="1"/>
  <c r="M110" i="21" s="1"/>
  <c r="L195" i="21" a="1"/>
  <c r="L195" i="21" s="1"/>
  <c r="L57" i="21" a="1"/>
  <c r="L57" i="21" s="1"/>
  <c r="L164" i="21" a="1"/>
  <c r="L164" i="21" s="1"/>
  <c r="L154" i="21" a="1"/>
  <c r="L154" i="21" s="1"/>
  <c r="M195" i="21" a="1"/>
  <c r="M195" i="21" s="1"/>
  <c r="M120" i="21" a="1"/>
  <c r="M120" i="21" s="1"/>
  <c r="L113" i="21" a="1"/>
  <c r="L113" i="21" s="1"/>
  <c r="M97" i="21" a="1"/>
  <c r="M97" i="21" s="1"/>
  <c r="M96" i="21" s="1"/>
  <c r="M130" i="21" a="1"/>
  <c r="M130" i="21" s="1"/>
  <c r="L82" i="21" a="1"/>
  <c r="L82" i="21" s="1"/>
  <c r="M108" i="21" a="1"/>
  <c r="M108" i="21" s="1"/>
  <c r="L20" i="21" a="1"/>
  <c r="L20" i="21" s="1"/>
  <c r="L194" i="21" a="1"/>
  <c r="L194" i="21" s="1"/>
  <c r="L193" i="21" a="1"/>
  <c r="L193" i="21" s="1"/>
  <c r="M129" i="21" a="1"/>
  <c r="M129" i="21" s="1"/>
  <c r="L175" i="21" a="1"/>
  <c r="L175" i="21" s="1"/>
  <c r="M53" i="21" a="1"/>
  <c r="M53" i="21" s="1"/>
  <c r="L116" i="21" a="1"/>
  <c r="L116" i="21" s="1"/>
  <c r="L186" i="21" a="1"/>
  <c r="L186" i="21" s="1"/>
  <c r="L130" i="21" a="1"/>
  <c r="L130" i="21" s="1"/>
  <c r="L110" i="21" a="1"/>
  <c r="L110" i="21" s="1"/>
  <c r="M82" i="21" a="1"/>
  <c r="M82" i="21" s="1"/>
  <c r="M141" i="21" a="1"/>
  <c r="M141" i="21" s="1"/>
  <c r="M18" i="21" a="1"/>
  <c r="M18" i="21" s="1"/>
  <c r="M17" i="21" s="1"/>
  <c r="M81" i="21" a="1"/>
  <c r="M81" i="21" s="1"/>
  <c r="L90" i="21" a="1"/>
  <c r="L90" i="21" s="1"/>
  <c r="M142" i="21" a="1"/>
  <c r="M142" i="21" s="1"/>
  <c r="L111" i="21" a="1"/>
  <c r="L111" i="21" s="1"/>
  <c r="L155" i="21" a="1"/>
  <c r="L155" i="21" s="1"/>
  <c r="L54" i="21" a="1"/>
  <c r="L54" i="21" s="1"/>
  <c r="L177" i="21" a="1"/>
  <c r="L177" i="21" s="1"/>
  <c r="L59" i="21" a="1"/>
  <c r="L59" i="21" s="1"/>
  <c r="M152" i="21" a="1"/>
  <c r="M152" i="21" s="1"/>
  <c r="L188" i="21" a="1"/>
  <c r="L188" i="21" s="1"/>
  <c r="L178" i="21" a="1"/>
  <c r="L178" i="21" s="1"/>
  <c r="M201" i="21" a="1"/>
  <c r="M201" i="21" s="1"/>
  <c r="L183" i="21" a="1"/>
  <c r="L183" i="21" s="1"/>
  <c r="L119" i="21" a="1"/>
  <c r="L119" i="21" s="1"/>
  <c r="M176" i="21" a="1"/>
  <c r="M176" i="21" s="1"/>
  <c r="M161" i="21" a="1"/>
  <c r="M161" i="21" s="1"/>
  <c r="M181" i="21" a="1"/>
  <c r="M181" i="21" s="1"/>
  <c r="M24" i="21" a="1"/>
  <c r="M24" i="21" s="1"/>
  <c r="M222" i="21" a="1"/>
  <c r="M222" i="21" s="1"/>
  <c r="L166" i="21" a="1"/>
  <c r="L166" i="21" s="1"/>
  <c r="L120" i="21" a="1"/>
  <c r="L120" i="21" s="1"/>
  <c r="M59" i="21" a="1"/>
  <c r="M59" i="21" s="1"/>
  <c r="M219" i="21" a="1"/>
  <c r="M219" i="21" s="1"/>
  <c r="M156" i="21" a="1"/>
  <c r="M156" i="21" s="1"/>
  <c r="L53" i="21" a="1"/>
  <c r="L53" i="21" s="1"/>
  <c r="M199" i="21" a="1"/>
  <c r="M199" i="21" s="1"/>
  <c r="M60" i="21" a="1"/>
  <c r="M60" i="21" s="1"/>
  <c r="M198" i="21" a="1"/>
  <c r="M198" i="21" s="1"/>
  <c r="M111" i="21" a="1"/>
  <c r="M111" i="21" s="1"/>
  <c r="L118" i="21" a="1"/>
  <c r="L118" i="21" s="1"/>
  <c r="L91" i="21" a="1"/>
  <c r="L91" i="21" s="1"/>
  <c r="M155" i="21" a="1"/>
  <c r="M155" i="21" s="1"/>
  <c r="L153" i="21" a="1"/>
  <c r="L153" i="21" s="1"/>
  <c r="L201" i="21" a="1"/>
  <c r="L201" i="21" s="1"/>
  <c r="P201" i="21" s="1"/>
  <c r="Q201" i="21" s="1"/>
  <c r="M116" i="21" a="1"/>
  <c r="M116" i="21" s="1"/>
  <c r="L142" i="21" a="1"/>
  <c r="L142" i="21" s="1"/>
  <c r="L151" i="21" a="1"/>
  <c r="L151" i="21" s="1"/>
  <c r="M194" i="21" a="1"/>
  <c r="M194" i="21" s="1"/>
  <c r="L115" i="21" a="1"/>
  <c r="L115" i="21" s="1"/>
  <c r="L220" i="21" a="1"/>
  <c r="L220" i="21" s="1"/>
  <c r="M127" i="21" a="1"/>
  <c r="M127" i="21" s="1"/>
  <c r="M117" i="21" a="1"/>
  <c r="M117" i="21" s="1"/>
  <c r="L23" i="21" a="1"/>
  <c r="L23" i="21" s="1"/>
  <c r="L126" i="21" a="1"/>
  <c r="L126" i="21" s="1"/>
  <c r="M124" i="21" a="1"/>
  <c r="M124" i="21" s="1"/>
  <c r="L162" i="21" a="1"/>
  <c r="L162" i="21" s="1"/>
  <c r="M126" i="21" a="1"/>
  <c r="M126" i="21" s="1"/>
  <c r="M144" i="21" a="1"/>
  <c r="M144" i="21" s="1"/>
  <c r="L198" i="21" a="1"/>
  <c r="L198" i="21" s="1"/>
  <c r="P198" i="21" s="1"/>
  <c r="Q198" i="21" s="1"/>
  <c r="L199" i="21" a="1"/>
  <c r="L199" i="21" s="1"/>
  <c r="P199" i="21" s="1"/>
  <c r="Q199" i="21" s="1"/>
  <c r="L189" i="21" a="1"/>
  <c r="L189" i="21" s="1"/>
  <c r="L18" i="21" a="1"/>
  <c r="L18" i="21" s="1"/>
  <c r="L52" i="21" a="1"/>
  <c r="L52" i="21" s="1"/>
  <c r="M21" i="21" a="1"/>
  <c r="M21" i="21" s="1"/>
  <c r="M118" i="21" a="1"/>
  <c r="M118" i="21" s="1"/>
  <c r="L148" i="21" a="1"/>
  <c r="L148" i="21" s="1"/>
  <c r="L56" i="21" a="1"/>
  <c r="L56" i="21" s="1"/>
  <c r="M184" i="21" a="1"/>
  <c r="M184" i="21" s="1"/>
  <c r="M164" i="21" a="1"/>
  <c r="M164" i="21" s="1"/>
  <c r="M20" i="21" a="1"/>
  <c r="M20" i="21" s="1"/>
  <c r="L124" i="21" a="1"/>
  <c r="L124" i="21" s="1"/>
  <c r="P124" i="21" s="1"/>
  <c r="L108" i="21" a="1"/>
  <c r="L108" i="21" s="1"/>
  <c r="M89" i="21" a="1"/>
  <c r="M89" i="21" s="1"/>
  <c r="M23" i="21" a="1"/>
  <c r="M23" i="21" s="1"/>
  <c r="M166" i="21" a="1"/>
  <c r="M166" i="21" s="1"/>
  <c r="M188" i="21" a="1"/>
  <c r="M188" i="21" s="1"/>
  <c r="L22" i="21" a="1"/>
  <c r="L22" i="21" s="1"/>
  <c r="M58" i="21" a="1"/>
  <c r="M58" i="21" s="1"/>
  <c r="L117" i="21" a="1"/>
  <c r="L117" i="21" s="1"/>
  <c r="L58" i="21" a="1"/>
  <c r="L58" i="21" s="1"/>
  <c r="M113" i="21" a="1"/>
  <c r="M113" i="21" s="1"/>
  <c r="L129" i="21" a="1"/>
  <c r="L129" i="21" s="1"/>
  <c r="P129" i="21" s="1"/>
  <c r="L79" i="21" a="1"/>
  <c r="L79" i="21" s="1"/>
  <c r="M221" i="21" a="1"/>
  <c r="M221" i="21" s="1"/>
  <c r="L30" i="21" a="1"/>
  <c r="L30" i="21" s="1"/>
  <c r="M90" i="21" a="1"/>
  <c r="M90" i="21" s="1"/>
  <c r="L181" i="21" a="1"/>
  <c r="L181" i="21" s="1"/>
  <c r="P181" i="21" s="1"/>
  <c r="Q181" i="21" s="1"/>
  <c r="M180" i="21" a="1"/>
  <c r="M180" i="21" s="1"/>
  <c r="L78" i="21" a="1"/>
  <c r="L78" i="21" s="1"/>
  <c r="L55" i="21" a="1"/>
  <c r="L55" i="21" s="1"/>
  <c r="L185" i="21" a="1"/>
  <c r="L185" i="21" s="1"/>
  <c r="M171" i="21" a="1"/>
  <c r="M171" i="21" s="1"/>
  <c r="M158" i="21" a="1"/>
  <c r="M158" i="21" s="1"/>
  <c r="M157" i="21" s="1"/>
  <c r="L145" i="21" a="1"/>
  <c r="L145" i="21" s="1"/>
  <c r="L112" i="21" a="1"/>
  <c r="L112" i="21" s="1"/>
  <c r="M51" i="21" a="1"/>
  <c r="M51" i="21" s="1"/>
  <c r="M170" i="21" a="1"/>
  <c r="M170" i="21" s="1"/>
  <c r="M220" i="21" a="1"/>
  <c r="M220" i="21" s="1"/>
  <c r="L24" i="21" a="1"/>
  <c r="L24" i="21" s="1"/>
  <c r="L25" i="21" a="1"/>
  <c r="L25" i="21" s="1"/>
  <c r="M55" i="21" a="1"/>
  <c r="M55" i="21" s="1"/>
  <c r="L190" i="21" a="1"/>
  <c r="L190" i="21" s="1"/>
  <c r="M134" i="21" a="1"/>
  <c r="M134" i="21" s="1"/>
  <c r="L100" i="21" a="1"/>
  <c r="L100" i="21" s="1"/>
  <c r="M169" i="21" a="1"/>
  <c r="M169" i="21" s="1"/>
  <c r="M54" i="21" a="1"/>
  <c r="M54" i="21" s="1"/>
  <c r="M186" i="21" a="1"/>
  <c r="M186" i="21" s="1"/>
  <c r="M100" i="21" a="1"/>
  <c r="M100" i="21" s="1"/>
  <c r="M147" i="21" a="1"/>
  <c r="M147" i="21" s="1"/>
  <c r="L21" i="21" a="1"/>
  <c r="L21" i="21" s="1"/>
  <c r="L109" i="21" a="1"/>
  <c r="L109" i="21" s="1"/>
  <c r="M154" i="21" a="1"/>
  <c r="M154" i="21" s="1"/>
  <c r="M27" i="21" a="1"/>
  <c r="M27" i="21" s="1"/>
  <c r="L192" i="21" a="1"/>
  <c r="L192" i="21" s="1"/>
  <c r="M200" i="21" a="1"/>
  <c r="M200" i="21" s="1"/>
  <c r="L221" i="21" a="1"/>
  <c r="L221" i="21" s="1"/>
  <c r="M177" i="21" a="1"/>
  <c r="M177" i="21" s="1"/>
  <c r="M125" i="21" a="1"/>
  <c r="M125" i="21" s="1"/>
  <c r="M79" i="21" a="1"/>
  <c r="M79" i="21" s="1"/>
  <c r="M99" i="21" a="1"/>
  <c r="M99" i="21" s="1"/>
  <c r="L184" i="21" a="1"/>
  <c r="L184" i="21" s="1"/>
  <c r="P184" i="21" s="1"/>
  <c r="Q184" i="21" s="1"/>
  <c r="M139" i="21" a="1"/>
  <c r="M139" i="21" s="1"/>
  <c r="L180" i="21" a="1"/>
  <c r="L180" i="21" s="1"/>
  <c r="M114" i="21" a="1"/>
  <c r="M114" i="21" s="1"/>
  <c r="M26" i="21" a="1"/>
  <c r="M26" i="21" s="1"/>
  <c r="M143" i="21" a="1"/>
  <c r="M143" i="21" s="1"/>
  <c r="M175" i="21" a="1"/>
  <c r="M175" i="21" s="1"/>
  <c r="M192" i="21" a="1"/>
  <c r="M192" i="21" s="1"/>
  <c r="L197" i="21" a="1"/>
  <c r="L197" i="21" s="1"/>
  <c r="M173" i="21" a="1"/>
  <c r="M173" i="21" s="1"/>
  <c r="M172" i="21" s="1"/>
  <c r="L127" i="21" a="1"/>
  <c r="L127" i="21" s="1"/>
  <c r="L134" i="21" a="1"/>
  <c r="L134" i="21" s="1"/>
  <c r="M107" i="21" a="1"/>
  <c r="M107" i="21" s="1"/>
  <c r="L139" i="21" a="1"/>
  <c r="L139" i="21" s="1"/>
  <c r="L114" i="21" a="1"/>
  <c r="L114" i="21" s="1"/>
  <c r="M185" i="21" a="1"/>
  <c r="M185" i="21" s="1"/>
  <c r="L173" i="21" a="1"/>
  <c r="L173" i="21" s="1"/>
  <c r="L97" i="21" a="1"/>
  <c r="L97" i="21" s="1"/>
  <c r="L182" i="21" a="1"/>
  <c r="L182" i="21" s="1"/>
  <c r="L143" i="21" a="1"/>
  <c r="L143" i="21" s="1"/>
  <c r="L179" i="21" a="1"/>
  <c r="L179" i="21" s="1"/>
  <c r="M145" i="21" a="1"/>
  <c r="M145" i="21" s="1"/>
  <c r="L144" i="21" a="1"/>
  <c r="L144" i="21" s="1"/>
  <c r="P144" i="21" s="1"/>
  <c r="Q144" i="21" s="1"/>
  <c r="L147" i="21" a="1"/>
  <c r="L147" i="21" s="1"/>
  <c r="M202" i="21" a="1"/>
  <c r="M202" i="21" s="1"/>
  <c r="M112" i="21" a="1"/>
  <c r="M112" i="21" s="1"/>
  <c r="L27" i="21" a="1"/>
  <c r="L27" i="21" s="1"/>
  <c r="L81" i="21" a="1"/>
  <c r="L81" i="21" s="1"/>
  <c r="L158" i="21" a="1"/>
  <c r="L158" i="21" s="1"/>
  <c r="L157" i="21" s="1"/>
  <c r="M122" i="21" a="1"/>
  <c r="M122" i="21" s="1"/>
  <c r="M121" i="21" s="1"/>
  <c r="L26" i="21" a="1"/>
  <c r="L26" i="21" s="1"/>
  <c r="L202" i="21" a="1"/>
  <c r="L202" i="21" s="1"/>
  <c r="P202" i="21" s="1"/>
  <c r="Q202" i="21" s="1"/>
  <c r="L251" i="21" a="1"/>
  <c r="L251" i="21" s="1"/>
  <c r="P251" i="21" s="1"/>
  <c r="Q251" i="21" s="1"/>
  <c r="L161" i="21" a="1"/>
  <c r="L161" i="21" s="1"/>
  <c r="M160" i="21" a="1"/>
  <c r="M160" i="21" s="1"/>
  <c r="M78" i="21" a="1"/>
  <c r="M78" i="21" s="1"/>
  <c r="L200" i="21" a="1"/>
  <c r="L200" i="21" s="1"/>
  <c r="P200" i="21" s="1"/>
  <c r="Q200" i="21" s="1"/>
  <c r="M151" i="21" a="1"/>
  <c r="M151" i="21" s="1"/>
  <c r="M153" i="21" a="1"/>
  <c r="M153" i="21" s="1"/>
  <c r="L60" i="21" a="1"/>
  <c r="L60" i="21" s="1"/>
  <c r="L99" i="21" a="1"/>
  <c r="L99" i="21" s="1"/>
  <c r="M162" i="21" a="1"/>
  <c r="M162" i="21" s="1"/>
  <c r="L169" i="21" a="1"/>
  <c r="L169" i="21" s="1"/>
  <c r="I168" i="21" s="1"/>
  <c r="I165" i="21" s="1"/>
  <c r="I163" i="21" s="1"/>
  <c r="I159" i="21" s="1"/>
  <c r="L222" i="21" a="1"/>
  <c r="L222" i="21" s="1"/>
  <c r="P222" i="21" s="1"/>
  <c r="Q222" i="21" s="1"/>
  <c r="M183" i="21" a="1"/>
  <c r="M183" i="21" s="1"/>
  <c r="L152" i="21" a="1"/>
  <c r="L152" i="21" s="1"/>
  <c r="P152" i="21" s="1"/>
  <c r="M242" i="21" a="1"/>
  <c r="M242" i="21" s="1"/>
  <c r="L35" i="21" a="1"/>
  <c r="L35" i="21" s="1"/>
  <c r="L34" i="21" a="1"/>
  <c r="L34" i="21" s="1"/>
  <c r="L239" i="21" a="1"/>
  <c r="L239" i="21" s="1"/>
  <c r="M41" i="21" a="1"/>
  <c r="M41" i="21" s="1"/>
  <c r="M29" i="21" a="1"/>
  <c r="M29" i="21" s="1"/>
  <c r="L205" i="21" a="1"/>
  <c r="L205" i="21" s="1"/>
  <c r="M241" i="21" a="1"/>
  <c r="M241" i="21" s="1"/>
  <c r="M240" i="21" a="1"/>
  <c r="M240" i="21" s="1"/>
  <c r="L41" i="21" a="1"/>
  <c r="L41" i="21" s="1"/>
  <c r="L39" i="21" a="1"/>
  <c r="L39" i="21" s="1"/>
  <c r="L246" i="21" a="1"/>
  <c r="L246" i="21" s="1"/>
  <c r="L38" i="21" a="1"/>
  <c r="L38" i="21" s="1"/>
  <c r="M206" i="21" a="1"/>
  <c r="M206" i="21" s="1"/>
  <c r="L36" i="21" a="1"/>
  <c r="L36" i="21" s="1"/>
  <c r="M234" i="21" a="1"/>
  <c r="M234" i="21" s="1"/>
  <c r="L32" i="21" a="1"/>
  <c r="L32" i="21" s="1"/>
  <c r="M32" i="21" a="1"/>
  <c r="M32" i="21" s="1"/>
  <c r="M31" i="21" a="1"/>
  <c r="M31" i="21" s="1"/>
  <c r="M37" i="21" a="1"/>
  <c r="M37" i="21" s="1"/>
  <c r="L231" i="21" a="1"/>
  <c r="L231" i="21" s="1"/>
  <c r="M247" i="21" a="1"/>
  <c r="M247" i="21" s="1"/>
  <c r="L232" i="21" a="1"/>
  <c r="L232" i="21" s="1"/>
  <c r="M233" i="21" a="1"/>
  <c r="M233" i="21" s="1"/>
  <c r="L43" i="21" a="1"/>
  <c r="L43" i="21" s="1"/>
  <c r="L29" i="21" a="1"/>
  <c r="L29" i="21" s="1"/>
  <c r="M40" i="21" a="1"/>
  <c r="M40" i="21" s="1"/>
  <c r="L206" i="21" a="1"/>
  <c r="L206" i="21" s="1"/>
  <c r="L244" i="21" a="1"/>
  <c r="L244" i="21" s="1"/>
  <c r="L240" i="21" a="1"/>
  <c r="L240" i="21" s="1"/>
  <c r="L42" i="21" a="1"/>
  <c r="L42" i="21" s="1"/>
  <c r="M42" i="21" a="1"/>
  <c r="M42" i="21" s="1"/>
  <c r="L40" i="21" a="1"/>
  <c r="L40" i="21" s="1"/>
  <c r="L249" i="21" a="1"/>
  <c r="L249" i="21" s="1"/>
  <c r="M33" i="21" a="1"/>
  <c r="M33" i="21" s="1"/>
  <c r="M246" i="21" a="1"/>
  <c r="M246" i="21" s="1"/>
  <c r="M43" i="21" a="1"/>
  <c r="M43" i="21" s="1"/>
  <c r="M229" i="21" a="1"/>
  <c r="M229" i="21" s="1"/>
  <c r="L230" i="21" a="1"/>
  <c r="L230" i="21" s="1"/>
  <c r="L31" i="21" a="1"/>
  <c r="L31" i="21" s="1"/>
  <c r="M244" i="21" a="1"/>
  <c r="M244" i="21" s="1"/>
  <c r="M243" i="21" a="1"/>
  <c r="M243" i="21" s="1"/>
  <c r="M232" i="21" a="1"/>
  <c r="M232" i="21" s="1"/>
  <c r="L242" i="21" a="1"/>
  <c r="L242" i="21" s="1"/>
  <c r="M34" i="21" a="1"/>
  <c r="M34" i="21" s="1"/>
  <c r="L234" i="21" a="1"/>
  <c r="L234" i="21" s="1"/>
  <c r="M249" i="21" a="1"/>
  <c r="M249" i="21" s="1"/>
  <c r="L241" i="21" a="1"/>
  <c r="L241" i="21" s="1"/>
  <c r="M236" i="21" a="1"/>
  <c r="M236" i="21" s="1"/>
  <c r="L235" i="21" a="1"/>
  <c r="L235" i="21" s="1"/>
  <c r="M245" i="21" a="1"/>
  <c r="M245" i="21" s="1"/>
  <c r="M228" i="21" a="1"/>
  <c r="M228" i="21" s="1"/>
  <c r="M239" i="21" a="1"/>
  <c r="M239" i="21" s="1"/>
  <c r="M205" i="21" a="1"/>
  <c r="M205" i="21" s="1"/>
  <c r="L237" i="21" a="1"/>
  <c r="L237" i="21" s="1"/>
  <c r="L37" i="21" a="1"/>
  <c r="L37" i="21" s="1"/>
  <c r="L238" i="21" a="1"/>
  <c r="L238" i="21" s="1"/>
  <c r="M230" i="21" a="1"/>
  <c r="M230" i="21" s="1"/>
  <c r="M39" i="21" a="1"/>
  <c r="M39" i="21" s="1"/>
  <c r="L229" i="21" a="1"/>
  <c r="L229" i="21" s="1"/>
  <c r="M207" i="21" a="1"/>
  <c r="M207" i="21" s="1"/>
  <c r="L213" i="21" a="1"/>
  <c r="L213" i="21" s="1"/>
  <c r="M237" i="21" a="1"/>
  <c r="M237" i="21" s="1"/>
  <c r="M248" i="21" a="1"/>
  <c r="M248" i="21" s="1"/>
  <c r="M36" i="21" a="1"/>
  <c r="M36" i="21" s="1"/>
  <c r="L245" i="21" a="1"/>
  <c r="L245" i="21" s="1"/>
  <c r="L236" i="21" a="1"/>
  <c r="L236" i="21" s="1"/>
  <c r="M38" i="21" a="1"/>
  <c r="M38" i="21" s="1"/>
  <c r="L248" i="21" a="1"/>
  <c r="L248" i="21" s="1"/>
  <c r="M238" i="21" a="1"/>
  <c r="M238" i="21" s="1"/>
  <c r="L33" i="21" a="1"/>
  <c r="L33" i="21" s="1"/>
  <c r="M35" i="21" a="1"/>
  <c r="M35" i="21" s="1"/>
  <c r="M235" i="21" a="1"/>
  <c r="M235" i="21" s="1"/>
  <c r="M30" i="21" a="1"/>
  <c r="M30" i="21" s="1"/>
  <c r="L247" i="21" a="1"/>
  <c r="L247" i="21" s="1"/>
  <c r="M231" i="21" a="1"/>
  <c r="M231" i="21" s="1"/>
  <c r="L243" i="21" a="1"/>
  <c r="L243" i="21" s="1"/>
  <c r="M208" i="21" a="1"/>
  <c r="M208" i="21" s="1"/>
  <c r="M213" i="21" a="1"/>
  <c r="M213" i="21" s="1"/>
  <c r="M209" i="21" a="1"/>
  <c r="M209" i="21" s="1"/>
  <c r="L210" i="21" a="1"/>
  <c r="L210" i="21" s="1"/>
  <c r="M214" i="21" a="1"/>
  <c r="M214" i="21" s="1"/>
  <c r="L207" i="21" a="1"/>
  <c r="L207" i="21" s="1"/>
  <c r="M204" i="21" a="1"/>
  <c r="M204" i="21" s="1"/>
  <c r="M212" i="21" a="1"/>
  <c r="M212" i="21" s="1"/>
  <c r="L204" i="21" a="1"/>
  <c r="L204" i="21" s="1"/>
  <c r="M210" i="21" a="1"/>
  <c r="M210" i="21" s="1"/>
  <c r="L214" i="21" a="1"/>
  <c r="L214" i="21" s="1"/>
  <c r="L212" i="21" a="1"/>
  <c r="L212" i="21" s="1"/>
  <c r="L211" i="21" a="1"/>
  <c r="L211" i="21" s="1"/>
  <c r="L215" i="21" a="1"/>
  <c r="L215" i="21" s="1"/>
  <c r="M211" i="21" a="1"/>
  <c r="M211" i="21" s="1"/>
  <c r="M215" i="21" a="1"/>
  <c r="M215" i="21" s="1"/>
  <c r="L209" i="21" a="1"/>
  <c r="L209" i="21" s="1"/>
  <c r="L208" i="21" a="1"/>
  <c r="L208" i="21" s="1"/>
  <c r="CB12" i="20"/>
  <c r="CC13" i="20"/>
  <c r="CB9" i="20"/>
  <c r="P171" i="21" l="1"/>
  <c r="Q171" i="21" s="1"/>
  <c r="N131" i="21" a="1"/>
  <c r="N131" i="21" s="1"/>
  <c r="N163" i="21" a="1"/>
  <c r="N163" i="21" s="1"/>
  <c r="N168" i="21" a="1"/>
  <c r="N168" i="21" s="1"/>
  <c r="L72" i="21" a="1"/>
  <c r="L72" i="21" s="1"/>
  <c r="M75" i="21" a="1"/>
  <c r="M75" i="21" s="1"/>
  <c r="L65" i="21" a="1"/>
  <c r="L65" i="21" s="1"/>
  <c r="L70" i="21" a="1"/>
  <c r="L70" i="21" s="1"/>
  <c r="M67" i="21" a="1"/>
  <c r="M67" i="21" s="1"/>
  <c r="N146" i="21" a="1"/>
  <c r="N146" i="21" s="1"/>
  <c r="N196" i="21" a="1"/>
  <c r="N196" i="21" s="1"/>
  <c r="N96" i="21" a="1"/>
  <c r="N96" i="21" s="1"/>
  <c r="N217" i="21" a="1"/>
  <c r="N217" i="21" s="1"/>
  <c r="N250" i="21" a="1"/>
  <c r="N250" i="21" s="1"/>
  <c r="M65" i="21" a="1"/>
  <c r="M65" i="21" s="1"/>
  <c r="N28" i="21" a="1"/>
  <c r="N28" i="21" s="1"/>
  <c r="N150" i="21" a="1"/>
  <c r="N150" i="21" s="1"/>
  <c r="CI15" i="21"/>
  <c r="L87" i="21" a="1"/>
  <c r="L87" i="21" s="1"/>
  <c r="M87" i="21" a="1"/>
  <c r="M87" i="21" s="1"/>
  <c r="M86" i="21" s="1"/>
  <c r="L95" i="21" a="1"/>
  <c r="L95" i="21" s="1"/>
  <c r="L103" i="21" a="1"/>
  <c r="L103" i="21" s="1"/>
  <c r="N104" i="21" a="1"/>
  <c r="N104" i="21" s="1"/>
  <c r="L228" i="21" a="1"/>
  <c r="L228" i="21" s="1"/>
  <c r="M133" i="21" a="1"/>
  <c r="M133" i="21" s="1"/>
  <c r="M93" i="21" a="1"/>
  <c r="M93" i="21" s="1"/>
  <c r="M92" i="21" s="1"/>
  <c r="N140" i="21" a="1"/>
  <c r="N140" i="21" s="1"/>
  <c r="L224" i="21" a="1"/>
  <c r="L224" i="21" s="1"/>
  <c r="L223" i="21" s="1"/>
  <c r="M49" i="21" a="1"/>
  <c r="M49" i="21" s="1"/>
  <c r="M64" i="21" a="1"/>
  <c r="M64" i="21" s="1"/>
  <c r="L63" i="21" a="1"/>
  <c r="L63" i="21" s="1"/>
  <c r="M76" i="21" a="1"/>
  <c r="M76" i="21" s="1"/>
  <c r="M74" i="21" a="1"/>
  <c r="M74" i="21" s="1"/>
  <c r="L48" i="21" a="1"/>
  <c r="L48" i="21" s="1"/>
  <c r="M72" i="21" a="1"/>
  <c r="M72" i="21" s="1"/>
  <c r="L69" i="21" a="1"/>
  <c r="L69" i="21" s="1"/>
  <c r="L49" i="21" a="1"/>
  <c r="L49" i="21" s="1"/>
  <c r="L64" i="21" a="1"/>
  <c r="L64" i="21" s="1"/>
  <c r="N165" i="21" a="1"/>
  <c r="N165" i="21" s="1"/>
  <c r="N187" i="21" a="1"/>
  <c r="N187" i="21" s="1"/>
  <c r="N77" i="21" a="1"/>
  <c r="N77" i="21" s="1"/>
  <c r="N17" i="21" a="1"/>
  <c r="N17" i="21" s="1"/>
  <c r="N19" i="21" a="1"/>
  <c r="N19" i="21" s="1"/>
  <c r="N44" i="21" a="1"/>
  <c r="N44" i="21" s="1"/>
  <c r="N203" i="21" a="1"/>
  <c r="N203" i="21" s="1"/>
  <c r="N138" i="21" a="1"/>
  <c r="N138" i="21" s="1"/>
  <c r="L84" i="21" a="1"/>
  <c r="L84" i="21" s="1"/>
  <c r="M85" i="21" a="1"/>
  <c r="M85" i="21" s="1"/>
  <c r="M95" i="21" a="1"/>
  <c r="M95" i="21" s="1"/>
  <c r="M94" i="21" s="1"/>
  <c r="M103" i="21" a="1"/>
  <c r="M103" i="21" s="1"/>
  <c r="M102" i="21" s="1"/>
  <c r="L136" i="21" a="1"/>
  <c r="L136" i="21" s="1"/>
  <c r="M137" i="21" a="1"/>
  <c r="M137" i="21" s="1"/>
  <c r="M132" i="21" a="1"/>
  <c r="M132" i="21" s="1"/>
  <c r="M105" i="21" a="1"/>
  <c r="M105" i="21" s="1"/>
  <c r="M104" i="21" s="1"/>
  <c r="L167" i="21" a="1"/>
  <c r="L167" i="21" s="1"/>
  <c r="P193" i="21"/>
  <c r="Q193" i="21" s="1"/>
  <c r="L107" i="21" a="1"/>
  <c r="L107" i="21" s="1"/>
  <c r="M57" i="21" a="1"/>
  <c r="M57" i="21" s="1"/>
  <c r="L141" i="21" a="1"/>
  <c r="L141" i="21" s="1"/>
  <c r="M189" i="21" a="1"/>
  <c r="M189" i="21" s="1"/>
  <c r="P189" i="21" s="1"/>
  <c r="Q189" i="21" s="1"/>
  <c r="M22" i="21" a="1"/>
  <c r="M22" i="21" s="1"/>
  <c r="M182" i="21" a="1"/>
  <c r="M182" i="21" s="1"/>
  <c r="P182" i="21" s="1"/>
  <c r="Q182" i="21" s="1"/>
  <c r="M45" i="21" a="1"/>
  <c r="M45" i="21" s="1"/>
  <c r="L156" i="21" a="1"/>
  <c r="L156" i="21" s="1"/>
  <c r="M225" i="21" a="1"/>
  <c r="M225" i="21" s="1"/>
  <c r="L250" i="21" a="1"/>
  <c r="L250" i="21" s="1"/>
  <c r="L226" i="21" a="1"/>
  <c r="L226" i="21" s="1"/>
  <c r="P226" i="21" s="1"/>
  <c r="Q226" i="21" s="1"/>
  <c r="M66" i="21" a="1"/>
  <c r="M66" i="21" s="1"/>
  <c r="L67" i="21" a="1"/>
  <c r="L67" i="21" s="1"/>
  <c r="L71" i="21" a="1"/>
  <c r="L71" i="21" s="1"/>
  <c r="L61" i="21" s="1"/>
  <c r="L73" i="21" a="1"/>
  <c r="L73" i="21" s="1"/>
  <c r="P73" i="21" s="1"/>
  <c r="Q73" i="21" s="1"/>
  <c r="L74" i="21" a="1"/>
  <c r="L74" i="21" s="1"/>
  <c r="M70" i="21" a="1"/>
  <c r="M70" i="21" s="1"/>
  <c r="M68" i="21" a="1"/>
  <c r="M68" i="21" s="1"/>
  <c r="N61" i="21" a="1"/>
  <c r="N61" i="21" s="1"/>
  <c r="N157" i="21" a="1"/>
  <c r="N157" i="21" s="1"/>
  <c r="N98" i="21" a="1"/>
  <c r="N98" i="21" s="1"/>
  <c r="N159" i="21" a="1"/>
  <c r="N159" i="21" s="1"/>
  <c r="N80" i="21" a="1"/>
  <c r="N80" i="21" s="1"/>
  <c r="N128" i="21" a="1"/>
  <c r="N128" i="21" s="1"/>
  <c r="N251" i="21" a="1"/>
  <c r="N251" i="21" s="1"/>
  <c r="N106" i="21" a="1"/>
  <c r="N106" i="21" s="1"/>
  <c r="N218" i="21" a="1"/>
  <c r="N218" i="21" s="1"/>
  <c r="N191" i="21" a="1"/>
  <c r="N191" i="21" s="1"/>
  <c r="N227" i="21" a="1"/>
  <c r="N227" i="21" s="1"/>
  <c r="N86" i="21" a="1"/>
  <c r="N86" i="21" s="1"/>
  <c r="N83" i="21" a="1"/>
  <c r="N83" i="21" s="1"/>
  <c r="N92" i="21" a="1"/>
  <c r="N92" i="21" s="1"/>
  <c r="L137" i="21" a="1"/>
  <c r="L137" i="21" s="1"/>
  <c r="N135" i="21" a="1"/>
  <c r="N135" i="21" s="1"/>
  <c r="L133" i="21" a="1"/>
  <c r="L133" i="21" s="1"/>
  <c r="P133" i="21" s="1"/>
  <c r="Q133" i="21" s="1"/>
  <c r="M167" i="21" a="1"/>
  <c r="M167" i="21" s="1"/>
  <c r="P185" i="21"/>
  <c r="Q185" i="21" s="1"/>
  <c r="P153" i="21"/>
  <c r="Q153" i="21" s="1"/>
  <c r="P151" i="21"/>
  <c r="P169" i="21"/>
  <c r="P186" i="21"/>
  <c r="Q186" i="21" s="1"/>
  <c r="P190" i="21"/>
  <c r="Q190" i="21" s="1"/>
  <c r="P183" i="21"/>
  <c r="Q183" i="21" s="1"/>
  <c r="P161" i="21"/>
  <c r="Q161" i="21" s="1"/>
  <c r="P132" i="21"/>
  <c r="M135" i="21"/>
  <c r="Q152" i="21"/>
  <c r="P137" i="21"/>
  <c r="Q137" i="21" s="1"/>
  <c r="P154" i="21"/>
  <c r="Q154" i="21" s="1"/>
  <c r="P180" i="21"/>
  <c r="Q180" i="21" s="1"/>
  <c r="P155" i="21"/>
  <c r="Q155" i="21" s="1"/>
  <c r="P156" i="21"/>
  <c r="Q156" i="21" s="1"/>
  <c r="P136" i="21"/>
  <c r="Q136" i="21" s="1"/>
  <c r="M83" i="21"/>
  <c r="P85" i="21"/>
  <c r="Q85" i="21" s="1"/>
  <c r="P105" i="21"/>
  <c r="P104" i="21" s="1"/>
  <c r="L104" i="21"/>
  <c r="P103" i="21"/>
  <c r="P102" i="21" s="1"/>
  <c r="L102" i="21"/>
  <c r="P178" i="21"/>
  <c r="Q178" i="21" s="1"/>
  <c r="P148" i="21"/>
  <c r="Q148" i="21" s="1"/>
  <c r="L106" i="21"/>
  <c r="M106" i="21"/>
  <c r="P95" i="21"/>
  <c r="P94" i="21" s="1"/>
  <c r="Q94" i="21" s="1"/>
  <c r="L94" i="21"/>
  <c r="P93" i="21"/>
  <c r="P92" i="21" s="1"/>
  <c r="Q92" i="21" s="1"/>
  <c r="L92" i="21"/>
  <c r="L83" i="21"/>
  <c r="P87" i="21"/>
  <c r="Q87" i="21" s="1"/>
  <c r="L86" i="21"/>
  <c r="P119" i="21"/>
  <c r="Q119" i="21" s="1"/>
  <c r="P120" i="21"/>
  <c r="Q120" i="21" s="1"/>
  <c r="P84" i="21"/>
  <c r="P179" i="21"/>
  <c r="Q179" i="21" s="1"/>
  <c r="P177" i="21"/>
  <c r="Q177" i="21" s="1"/>
  <c r="P176" i="21"/>
  <c r="Q176" i="21" s="1"/>
  <c r="P82" i="21"/>
  <c r="Q82" i="21" s="1"/>
  <c r="Q124" i="21"/>
  <c r="P130" i="21"/>
  <c r="P128" i="21" s="1"/>
  <c r="P170" i="21"/>
  <c r="Q170" i="21" s="1"/>
  <c r="P164" i="21"/>
  <c r="P163" i="21" s="1"/>
  <c r="P162" i="21"/>
  <c r="Q162" i="21" s="1"/>
  <c r="P209" i="21"/>
  <c r="Q209" i="21" s="1"/>
  <c r="P139" i="21"/>
  <c r="P138" i="21" s="1"/>
  <c r="P215" i="21"/>
  <c r="Q215" i="21" s="1"/>
  <c r="P149" i="21"/>
  <c r="Q149" i="21" s="1"/>
  <c r="P214" i="21"/>
  <c r="Q214" i="21" s="1"/>
  <c r="P141" i="21"/>
  <c r="P145" i="21"/>
  <c r="Q145" i="21" s="1"/>
  <c r="P142" i="21"/>
  <c r="Q142" i="21" s="1"/>
  <c r="P143" i="21"/>
  <c r="Q143" i="21" s="1"/>
  <c r="P81" i="21"/>
  <c r="Q81" i="21" s="1"/>
  <c r="P134" i="21"/>
  <c r="Q134" i="21" s="1"/>
  <c r="P75" i="21"/>
  <c r="Q75" i="21" s="1"/>
  <c r="P204" i="21"/>
  <c r="Q204" i="21" s="1"/>
  <c r="P213" i="21"/>
  <c r="Q213" i="21" s="1"/>
  <c r="P208" i="21"/>
  <c r="Q208" i="21" s="1"/>
  <c r="P205" i="21"/>
  <c r="Q205" i="21" s="1"/>
  <c r="P206" i="21"/>
  <c r="Q206" i="21" s="1"/>
  <c r="P207" i="21"/>
  <c r="Q207" i="21" s="1"/>
  <c r="P211" i="21"/>
  <c r="Q211" i="21" s="1"/>
  <c r="P210" i="21"/>
  <c r="Q210" i="21" s="1"/>
  <c r="P212" i="21"/>
  <c r="Q212" i="21" s="1"/>
  <c r="P221" i="21"/>
  <c r="Q221" i="21" s="1"/>
  <c r="P67" i="21"/>
  <c r="Q67" i="21" s="1"/>
  <c r="P65" i="21"/>
  <c r="Q65" i="21" s="1"/>
  <c r="P56" i="21"/>
  <c r="Q56" i="21" s="1"/>
  <c r="P63" i="21"/>
  <c r="Q63" i="21" s="1"/>
  <c r="P49" i="21"/>
  <c r="Q49" i="21" s="1"/>
  <c r="P52" i="21"/>
  <c r="Q52" i="21" s="1"/>
  <c r="P64" i="21"/>
  <c r="Q64" i="21" s="1"/>
  <c r="P60" i="21"/>
  <c r="Q60" i="21" s="1"/>
  <c r="P74" i="21"/>
  <c r="Q74" i="21" s="1"/>
  <c r="P59" i="21"/>
  <c r="Q59" i="21" s="1"/>
  <c r="P53" i="21"/>
  <c r="Q53" i="21" s="1"/>
  <c r="P57" i="21"/>
  <c r="Q57" i="21" s="1"/>
  <c r="P51" i="21"/>
  <c r="Q51" i="21" s="1"/>
  <c r="P54" i="21"/>
  <c r="Q54" i="21" s="1"/>
  <c r="P220" i="21"/>
  <c r="Q220" i="21" s="1"/>
  <c r="P118" i="21"/>
  <c r="Q118" i="21" s="1"/>
  <c r="P69" i="21"/>
  <c r="Q69" i="21" s="1"/>
  <c r="P72" i="21"/>
  <c r="Q72" i="21" s="1"/>
  <c r="P70" i="21"/>
  <c r="Q70" i="21" s="1"/>
  <c r="P76" i="21"/>
  <c r="Q76" i="21" s="1"/>
  <c r="P48" i="21"/>
  <c r="Q48" i="21" s="1"/>
  <c r="P68" i="21"/>
  <c r="Q68" i="21" s="1"/>
  <c r="P71" i="21"/>
  <c r="Q71" i="21" s="1"/>
  <c r="M61" i="21"/>
  <c r="P66" i="21"/>
  <c r="Q66" i="21" s="1"/>
  <c r="P62" i="21"/>
  <c r="Q62" i="21" s="1"/>
  <c r="P58" i="21"/>
  <c r="Q58" i="21" s="1"/>
  <c r="P55" i="21"/>
  <c r="Q55" i="21" s="1"/>
  <c r="M46" i="21"/>
  <c r="P233" i="21"/>
  <c r="Q233" i="21" s="1"/>
  <c r="P115" i="21"/>
  <c r="Q115" i="21" s="1"/>
  <c r="P109" i="21"/>
  <c r="Q109" i="21" s="1"/>
  <c r="L46" i="21"/>
  <c r="P47" i="21"/>
  <c r="P114" i="21"/>
  <c r="Q114" i="21" s="1"/>
  <c r="P117" i="21"/>
  <c r="Q117" i="21" s="1"/>
  <c r="P90" i="21"/>
  <c r="Q90" i="21" s="1"/>
  <c r="P116" i="21"/>
  <c r="Q116" i="21" s="1"/>
  <c r="P225" i="21"/>
  <c r="Q225" i="21" s="1"/>
  <c r="P112" i="21"/>
  <c r="Q112" i="21" s="1"/>
  <c r="P113" i="21"/>
  <c r="Q113" i="21" s="1"/>
  <c r="P224" i="21"/>
  <c r="P110" i="21"/>
  <c r="Q110" i="21" s="1"/>
  <c r="P127" i="21"/>
  <c r="Q127" i="21" s="1"/>
  <c r="P101" i="21"/>
  <c r="Q101" i="21" s="1"/>
  <c r="L98" i="21"/>
  <c r="P108" i="21"/>
  <c r="Q108" i="21" s="1"/>
  <c r="P22" i="21"/>
  <c r="Q22" i="21" s="1"/>
  <c r="P91" i="21"/>
  <c r="Q91" i="21" s="1"/>
  <c r="P100" i="21"/>
  <c r="Q100" i="21" s="1"/>
  <c r="P195" i="21"/>
  <c r="Q195" i="21" s="1"/>
  <c r="P194" i="21"/>
  <c r="Q194" i="21" s="1"/>
  <c r="P111" i="21"/>
  <c r="Q111" i="21" s="1"/>
  <c r="M98" i="21"/>
  <c r="P99" i="21"/>
  <c r="Q99" i="21" s="1"/>
  <c r="P79" i="21"/>
  <c r="Q79" i="21" s="1"/>
  <c r="P26" i="21"/>
  <c r="Q26" i="21" s="1"/>
  <c r="P42" i="21"/>
  <c r="Q42" i="21" s="1"/>
  <c r="P243" i="21"/>
  <c r="Q243" i="21" s="1"/>
  <c r="P248" i="21"/>
  <c r="Q248" i="21" s="1"/>
  <c r="P245" i="21"/>
  <c r="Q245" i="21" s="1"/>
  <c r="P247" i="21"/>
  <c r="Q247" i="21" s="1"/>
  <c r="P37" i="21"/>
  <c r="Q37" i="21" s="1"/>
  <c r="P27" i="21"/>
  <c r="Q27" i="21" s="1"/>
  <c r="P36" i="21"/>
  <c r="Q36" i="21" s="1"/>
  <c r="P25" i="21"/>
  <c r="Q25" i="21" s="1"/>
  <c r="P33" i="21"/>
  <c r="Q33" i="21" s="1"/>
  <c r="P41" i="21"/>
  <c r="Q41" i="21" s="1"/>
  <c r="P242" i="21"/>
  <c r="Q242" i="21" s="1"/>
  <c r="P240" i="21"/>
  <c r="Q240" i="21" s="1"/>
  <c r="P40" i="21"/>
  <c r="Q40" i="21" s="1"/>
  <c r="P45" i="21"/>
  <c r="P44" i="21" s="1"/>
  <c r="P24" i="21"/>
  <c r="Q24" i="21" s="1"/>
  <c r="P31" i="21"/>
  <c r="Q31" i="21" s="1"/>
  <c r="P125" i="21"/>
  <c r="Q125" i="21" s="1"/>
  <c r="P244" i="21"/>
  <c r="Q244" i="21" s="1"/>
  <c r="P38" i="21"/>
  <c r="Q38" i="21" s="1"/>
  <c r="P249" i="21"/>
  <c r="Q249" i="21" s="1"/>
  <c r="P246" i="21"/>
  <c r="Q246" i="21" s="1"/>
  <c r="P239" i="21"/>
  <c r="Q239" i="21" s="1"/>
  <c r="P39" i="21"/>
  <c r="Q39" i="21" s="1"/>
  <c r="P34" i="21"/>
  <c r="Q34" i="21" s="1"/>
  <c r="P30" i="21"/>
  <c r="Q30" i="21" s="1"/>
  <c r="P241" i="21"/>
  <c r="Q241" i="21" s="1"/>
  <c r="P43" i="21"/>
  <c r="Q43" i="21" s="1"/>
  <c r="P35" i="21"/>
  <c r="Q35" i="21" s="1"/>
  <c r="P32" i="21"/>
  <c r="Q32" i="21" s="1"/>
  <c r="P126" i="21"/>
  <c r="Q126" i="21" s="1"/>
  <c r="M187" i="21"/>
  <c r="P21" i="21"/>
  <c r="Q21" i="21" s="1"/>
  <c r="M191" i="21"/>
  <c r="P160" i="21"/>
  <c r="P236" i="21"/>
  <c r="Q236" i="21" s="1"/>
  <c r="M77" i="21"/>
  <c r="M146" i="21"/>
  <c r="M150" i="21"/>
  <c r="M28" i="21"/>
  <c r="L50" i="21"/>
  <c r="M50" i="21"/>
  <c r="P23" i="21"/>
  <c r="Q23" i="21" s="1"/>
  <c r="M80" i="21"/>
  <c r="M174" i="21"/>
  <c r="M168" i="21" s="1"/>
  <c r="M165" i="21" s="1"/>
  <c r="M163" i="21" s="1"/>
  <c r="M159" i="21" s="1"/>
  <c r="M218" i="21"/>
  <c r="P192" i="21"/>
  <c r="Q192" i="21" s="1"/>
  <c r="L191" i="21"/>
  <c r="P107" i="21"/>
  <c r="P78" i="21"/>
  <c r="L77" i="21"/>
  <c r="M196" i="21"/>
  <c r="P29" i="21"/>
  <c r="Q29" i="21" s="1"/>
  <c r="L28" i="21"/>
  <c r="P158" i="21"/>
  <c r="Q158" i="21" s="1"/>
  <c r="M88" i="21"/>
  <c r="P147" i="21"/>
  <c r="L146" i="21"/>
  <c r="P97" i="21"/>
  <c r="Q97" i="21" s="1"/>
  <c r="L96" i="21"/>
  <c r="P175" i="21"/>
  <c r="Q175" i="21" s="1"/>
  <c r="L174" i="21"/>
  <c r="M123" i="21"/>
  <c r="P173" i="21"/>
  <c r="Q173" i="21" s="1"/>
  <c r="L172" i="21"/>
  <c r="L168" i="21" s="1"/>
  <c r="L123" i="21"/>
  <c r="P89" i="21"/>
  <c r="L88" i="21"/>
  <c r="P188" i="21"/>
  <c r="Q188" i="21" s="1"/>
  <c r="L187" i="21"/>
  <c r="P197" i="21"/>
  <c r="Q197" i="21" s="1"/>
  <c r="L196" i="21"/>
  <c r="L150" i="21"/>
  <c r="P20" i="21"/>
  <c r="L19" i="21"/>
  <c r="P219" i="21"/>
  <c r="Q219" i="21" s="1"/>
  <c r="L218" i="21"/>
  <c r="L80" i="21"/>
  <c r="M19" i="21"/>
  <c r="P18" i="21"/>
  <c r="Q18" i="21" s="1"/>
  <c r="L17" i="21"/>
  <c r="P166" i="21"/>
  <c r="P122" i="21"/>
  <c r="P121" i="21" s="1"/>
  <c r="L121" i="21"/>
  <c r="P229" i="21"/>
  <c r="Q229" i="21" s="1"/>
  <c r="M227" i="21"/>
  <c r="P232" i="21"/>
  <c r="Q232" i="21" s="1"/>
  <c r="P235" i="21"/>
  <c r="Q235" i="21" s="1"/>
  <c r="P231" i="21"/>
  <c r="Q231" i="21" s="1"/>
  <c r="P238" i="21"/>
  <c r="Q238" i="21" s="1"/>
  <c r="P237" i="21"/>
  <c r="Q237" i="21" s="1"/>
  <c r="P234" i="21"/>
  <c r="Q234" i="21" s="1"/>
  <c r="P230" i="21"/>
  <c r="Q230" i="21" s="1"/>
  <c r="P228" i="21"/>
  <c r="Q228" i="21" s="1"/>
  <c r="L227" i="21"/>
  <c r="M203" i="21"/>
  <c r="L203" i="21"/>
  <c r="CD13" i="20"/>
  <c r="CC9" i="20"/>
  <c r="CC12" i="20"/>
  <c r="L140" i="21" l="1"/>
  <c r="P167" i="21"/>
  <c r="Q167" i="21" s="1"/>
  <c r="L135" i="21"/>
  <c r="L165" i="21"/>
  <c r="L163" i="21" s="1"/>
  <c r="L159" i="21" s="1"/>
  <c r="Q166" i="21"/>
  <c r="M140" i="21"/>
  <c r="Q169" i="21"/>
  <c r="P140" i="21"/>
  <c r="Q141" i="21"/>
  <c r="P150" i="21"/>
  <c r="Q150" i="21" s="1"/>
  <c r="P159" i="21"/>
  <c r="Q160" i="21"/>
  <c r="Q164" i="21"/>
  <c r="P135" i="21"/>
  <c r="Q132" i="21"/>
  <c r="P131" i="21"/>
  <c r="Q130" i="21"/>
  <c r="Q105" i="21"/>
  <c r="Q103" i="21"/>
  <c r="Q95" i="21"/>
  <c r="Q93" i="21"/>
  <c r="P86" i="21"/>
  <c r="Q86" i="21" s="1"/>
  <c r="Q84" i="21"/>
  <c r="P83" i="21"/>
  <c r="Q83" i="21" s="1"/>
  <c r="P223" i="21"/>
  <c r="Q224" i="21"/>
  <c r="Q151" i="21"/>
  <c r="P146" i="21"/>
  <c r="Q147" i="21"/>
  <c r="P123" i="21"/>
  <c r="Q122" i="21"/>
  <c r="P106" i="21"/>
  <c r="P77" i="21"/>
  <c r="M138" i="21"/>
  <c r="L138" i="21"/>
  <c r="Q139" i="21"/>
  <c r="P61" i="21"/>
  <c r="Q61" i="21" s="1"/>
  <c r="P50" i="21"/>
  <c r="Q50" i="21" s="1"/>
  <c r="P46" i="21"/>
  <c r="Q46" i="21" s="1"/>
  <c r="Q47" i="21"/>
  <c r="Q78" i="21"/>
  <c r="P88" i="21"/>
  <c r="Q89" i="21"/>
  <c r="Q129" i="21"/>
  <c r="Q107" i="21"/>
  <c r="P98" i="21"/>
  <c r="Q98" i="21" s="1"/>
  <c r="P19" i="21"/>
  <c r="Q20" i="21"/>
  <c r="Q45" i="21"/>
  <c r="P96" i="21"/>
  <c r="Q96" i="21" s="1"/>
  <c r="P17" i="21"/>
  <c r="Q17" i="21" s="1"/>
  <c r="P218" i="21"/>
  <c r="Q218" i="21" s="1"/>
  <c r="P187" i="21"/>
  <c r="Q187" i="21" s="1"/>
  <c r="P28" i="21"/>
  <c r="Q28" i="21" s="1"/>
  <c r="Q174" i="21"/>
  <c r="P157" i="21"/>
  <c r="Q157" i="21" s="1"/>
  <c r="P172" i="21"/>
  <c r="Q172" i="21" s="1"/>
  <c r="P191" i="21"/>
  <c r="Q191" i="21" s="1"/>
  <c r="P196" i="21"/>
  <c r="Q196" i="21" s="1"/>
  <c r="P80" i="21"/>
  <c r="Q80" i="21" s="1"/>
  <c r="P227" i="21"/>
  <c r="Q227" i="21" s="1"/>
  <c r="Q203" i="21"/>
  <c r="CD12" i="20"/>
  <c r="CD9" i="20"/>
  <c r="CE13" i="20"/>
  <c r="P165" i="21" l="1"/>
  <c r="P168" i="21"/>
  <c r="Q140" i="21"/>
  <c r="Q135" i="21"/>
  <c r="L131" i="21"/>
  <c r="L128" i="21" s="1"/>
  <c r="L44" i="21" s="1"/>
  <c r="M131" i="21"/>
  <c r="M128" i="21" s="1"/>
  <c r="M44" i="21" s="1"/>
  <c r="Q104" i="21"/>
  <c r="Q102" i="21"/>
  <c r="Q223" i="21"/>
  <c r="Q146" i="21"/>
  <c r="Q121" i="21"/>
  <c r="Q123" i="21"/>
  <c r="Q44" i="21"/>
  <c r="Q88" i="21"/>
  <c r="CF13" i="20"/>
  <c r="CE12" i="20"/>
  <c r="CE9" i="20"/>
  <c r="Q168" i="21" l="1"/>
  <c r="Q165" i="21"/>
  <c r="Q131" i="21"/>
  <c r="Q128" i="21"/>
  <c r="Q138"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 r="Q163" i="21" l="1"/>
  <c r="Q159"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<sst xmlns="http://schemas.openxmlformats.org/spreadsheetml/2006/main" count="29437" uniqueCount="2075">
  <si>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</si>
  <si>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</si>
  <si>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</si>
  <si>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</si>
  <si>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</si>
  <si>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</si>
  <si>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</si>
  <si>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</si>
  <si>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</si>
  <si>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</si>
  <si>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</si>
  <si>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</si>
  <si>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</si>
  <si>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</si>
  <si>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</si>
  <si>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</si>
  <si>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</si>
  <si>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</si>
  <si>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</si>
  <si>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</si>
  <si>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</si>
  <si>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</si>
  <si>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</si>
  <si>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</si>
  <si>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</si>
  <si>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</si>
  <si>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</si>
  <si>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</si>
  <si>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</si>
  <si>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</si>
  <si>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</si>
  <si>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</si>
  <si>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</si>
  <si>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</si>
  <si>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</si>
  <si>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</si>
  <si>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</si>
  <si>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</si>
  <si>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</si>
  <si>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</si>
  <si>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</si>
  <si>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</si>
  <si>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</si>
  <si>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</si>
  <si>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</si>
  <si>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</si>
  <si>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</si>
  <si>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</si>
  <si>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</si>
  <si>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</si>
  <si>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</si>
  <si>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</si>
  <si>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</si>
  <si>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</si>
  <si>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</si>
  <si>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</si>
  <si>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</si>
  <si>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</si>
  <si>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</si>
  <si>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</si>
  <si>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</si>
  <si>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</si>
  <si>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</si>
  <si>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</si>
  <si>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</si>
  <si>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</si>
  <si>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</si>
  <si>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</si>
  <si>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</si>
  <si>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</si>
  <si>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</si>
  <si>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</si>
  <si>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</si>
  <si>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</si>
  <si>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</si>
  <si>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</si>
  <si>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</si>
  <si>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</si>
  <si>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</si>
  <si>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</si>
  <si>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</si>
  <si>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</si>
  <si>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</si>
  <si>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</si>
  <si>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</si>
  <si>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</si>
  <si>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</si>
  <si>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</si>
  <si>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</si>
  <si>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</si>
  <si>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</si>
  <si>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</si>
  <si>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</si>
  <si>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</si>
  <si>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</si>
  <si>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</si>
  <si>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</si>
  <si>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</si>
  <si>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</si>
  <si>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</si>
  <si>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</si>
  <si>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</si>
  <si>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</si>
  <si>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</si>
  <si>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</si>
  <si>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</si>
  <si>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</si>
  <si>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</si>
  <si>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</si>
  <si>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</si>
  <si>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</si>
  <si>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</si>
  <si>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</si>
  <si>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</si>
  <si>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</si>
  <si>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</si>
  <si>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</si>
  <si>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</si>
  <si>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</si>
  <si>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</si>
  <si>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</si>
  <si>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</si>
  <si>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</si>
  <si>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</si>
  <si>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</si>
  <si>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</si>
  <si>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</si>
  <si>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</si>
  <si>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</si>
  <si>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</si>
  <si>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</si>
  <si>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</si>
  <si>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</si>
  <si>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</si>
  <si>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</si>
  <si>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</si>
  <si>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</si>
  <si>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</si>
  <si>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</si>
  <si>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</si>
  <si>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</si>
  <si>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</si>
  <si>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</si>
  <si>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</si>
  <si>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</si>
  <si>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</si>
  <si>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</si>
  <si>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</si>
  <si>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</si>
  <si>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</si>
  <si>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</si>
  <si>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</si>
  <si>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</si>
  <si>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</si>
  <si>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</si>
  <si>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</si>
  <si>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</si>
  <si>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</si>
  <si>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</si>
  <si>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</si>
  <si>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</si>
  <si>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</si>
  <si>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</si>
  <si>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</si>
  <si>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</si>
  <si>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</si>
  <si>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</si>
  <si>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</si>
  <si>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</si>
  <si>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</si>
  <si>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</si>
  <si>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</si>
  <si>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</si>
  <si>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</si>
  <si>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</si>
  <si>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</si>
  <si>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</si>
  <si>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</si>
  <si>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</si>
  <si>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</si>
  <si>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</si>
  <si>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</si>
  <si>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</si>
  <si>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</si>
  <si>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</si>
  <si>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</si>
  <si>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</si>
  <si>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</si>
  <si>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</si>
  <si>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</si>
  <si>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</si>
  <si>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</si>
  <si>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</si>
  <si>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</si>
  <si>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</si>
  <si>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</si>
  <si>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</si>
  <si>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</si>
  <si>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</si>
  <si>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</si>
  <si>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</si>
  <si>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</si>
  <si>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</si>
  <si>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</si>
  <si>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</si>
  <si>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</si>
  <si>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</si>
  <si>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</si>
  <si>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</si>
  <si>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</si>
  <si>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</si>
  <si>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</si>
  <si>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</si>
  <si>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</si>
  <si>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</si>
  <si>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</si>
  <si>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</si>
  <si>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</si>
  <si>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</si>
  <si>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</si>
  <si>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</si>
  <si>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</si>
  <si>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</si>
  <si>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</si>
  <si>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</si>
  <si>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</si>
  <si>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</si>
  <si>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</si>
  <si>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</si>
  <si>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</si>
  <si>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</si>
  <si>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</si>
  <si>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</si>
  <si>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</si>
  <si>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</si>
  <si>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</si>
  <si>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</si>
  <si>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</si>
  <si>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</si>
  <si>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</si>
  <si>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</si>
  <si>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</si>
  <si>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</si>
  <si>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</si>
  <si>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</si>
  <si>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</si>
  <si>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</si>
  <si>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</si>
  <si>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</si>
  <si>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</si>
  <si>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</si>
  <si>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</si>
  <si>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</si>
  <si>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</si>
  <si>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</si>
  <si>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</si>
  <si>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</si>
  <si>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</si>
  <si>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</si>
  <si>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</si>
  <si>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</si>
  <si>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</si>
  <si>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</si>
  <si>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</si>
  <si>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</si>
  <si>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</si>
  <si>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</si>
  <si>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</si>
  <si>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</si>
  <si>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</si>
  <si>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</si>
  <si>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</si>
  <si>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</si>
  <si>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</si>
  <si>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</si>
  <si>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</si>
  <si>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</si>
  <si>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</si>
  <si>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</si>
  <si>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</si>
  <si>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</si>
  <si>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</si>
  <si>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</si>
  <si>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</si>
  <si>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</si>
  <si>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</si>
  <si>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</si>
  <si>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</si>
  <si>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</si>
  <si>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</si>
  <si>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</si>
  <si>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</si>
  <si>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</si>
  <si>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</si>
  <si>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</si>
  <si>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</si>
  <si>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</si>
  <si>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</si>
  <si>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</si>
  <si>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</si>
  <si>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</si>
  <si>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</si>
  <si>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</si>
  <si>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</si>
  <si>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</si>
  <si>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</si>
  <si>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</si>
  <si>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</si>
  <si>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</si>
  <si>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</si>
  <si>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</si>
  <si>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</si>
  <si>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</si>
  <si>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</si>
  <si>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</si>
  <si>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</si>
  <si>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</si>
  <si>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</si>
  <si>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</si>
  <si>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</si>
  <si>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</si>
  <si>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</si>
  <si>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</si>
  <si>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</si>
  <si>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</si>
  <si>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</si>
  <si>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</si>
  <si>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</si>
  <si>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</si>
  <si>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</si>
  <si>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</si>
  <si>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</si>
  <si>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</si>
  <si>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</si>
  <si>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</si>
  <si>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</si>
  <si>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</si>
  <si>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</si>
  <si>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</si>
  <si>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</si>
  <si>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</si>
  <si>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</si>
  <si>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</si>
  <si>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</si>
  <si>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</si>
  <si>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</si>
  <si>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</si>
  <si>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</si>
  <si>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</si>
  <si>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</si>
  <si>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</si>
  <si>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</si>
  <si>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</si>
  <si>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</si>
  <si>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</si>
  <si>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</si>
  <si>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</si>
  <si>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</si>
  <si>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</si>
  <si>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</si>
  <si>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</si>
  <si>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</si>
  <si>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</si>
  <si>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</si>
  <si>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</si>
  <si>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</si>
  <si>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</si>
  <si>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</si>
  <si>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</si>
  <si>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</si>
  <si>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</si>
  <si>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</si>
  <si>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</si>
  <si>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</si>
  <si>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</si>
  <si>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</si>
  <si>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</si>
  <si>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</si>
  <si>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</si>
  <si>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</si>
  <si>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</si>
  <si>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</si>
  <si>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</si>
  <si>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</si>
  <si>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</si>
  <si>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</si>
  <si>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</si>
  <si>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</si>
  <si>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</si>
  <si>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</si>
  <si>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</si>
  <si>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</si>
  <si>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</si>
  <si>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</si>
  <si>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</si>
  <si>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</si>
  <si>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</si>
  <si>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</si>
  <si>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</si>
  <si>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</si>
  <si>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</si>
  <si>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</si>
  <si>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</si>
  <si>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</si>
  <si>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</si>
  <si>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</si>
  <si>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</si>
  <si>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</si>
  <si>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</si>
  <si>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</si>
  <si>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</si>
  <si>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</si>
  <si>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</si>
  <si>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</si>
  <si>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</si>
  <si>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</si>
  <si>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</si>
  <si>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</si>
  <si>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</si>
  <si>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</si>
  <si>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</si>
  <si>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</si>
  <si>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</si>
  <si>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</si>
  <si>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</si>
  <si>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</si>
  <si>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</si>
  <si>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</si>
  <si>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</si>
  <si>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</si>
  <si>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</si>
  <si>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</si>
  <si>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</si>
  <si>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</si>
  <si>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</si>
  <si>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</si>
  <si>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</si>
  <si>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</si>
  <si>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</si>
  <si>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</si>
  <si>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</si>
  <si>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</si>
  <si>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</si>
  <si>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</si>
  <si>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</si>
  <si>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</si>
  <si>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</si>
  <si>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</si>
  <si>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</si>
  <si>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</si>
  <si>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</si>
  <si>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</si>
  <si>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</si>
  <si>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</si>
  <si>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</si>
  <si>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</si>
  <si>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</si>
  <si>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</si>
  <si>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</si>
  <si>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</si>
  <si>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</si>
  <si>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</si>
  <si>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</si>
  <si>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</si>
  <si>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</si>
  <si>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</si>
  <si>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</si>
  <si>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</si>
  <si>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</si>
  <si>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</si>
  <si>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</si>
  <si>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</si>
  <si>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</si>
  <si>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</si>
  <si>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</si>
  <si>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</si>
  <si>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</si>
  <si>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</si>
  <si>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</si>
  <si>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</si>
  <si>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</si>
  <si>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</si>
  <si>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</si>
  <si>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</si>
  <si>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</si>
  <si>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</si>
  <si>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</si>
  <si>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</si>
  <si>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</si>
  <si>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</si>
  <si>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</si>
  <si>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</si>
  <si>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</si>
  <si>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</si>
  <si>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</si>
  <si>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</si>
  <si>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</si>
  <si>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</si>
  <si>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</si>
  <si>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</si>
  <si>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</si>
  <si>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</si>
  <si>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</si>
  <si>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</si>
  <si>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</si>
  <si>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</si>
  <si>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</si>
  <si>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</si>
  <si>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</si>
  <si>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</si>
  <si>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</si>
  <si>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</si>
  <si>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</si>
  <si>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</si>
  <si>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</si>
  <si>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</si>
  <si>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</si>
  <si>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</si>
  <si>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</si>
  <si>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</si>
  <si>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</si>
  <si>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</si>
  <si>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</si>
  <si>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</si>
  <si>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</si>
  <si>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</si>
  <si>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</si>
  <si>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</si>
  <si>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</si>
  <si>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</si>
  <si>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</si>
  <si>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</si>
  <si>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</si>
  <si>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</si>
  <si>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</si>
  <si>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</si>
  <si>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</si>
  <si>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</si>
  <si>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</si>
  <si>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</si>
  <si>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</si>
  <si>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</si>
  <si>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</si>
  <si>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</si>
  <si>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</si>
  <si>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</si>
  <si>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</si>
  <si>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</si>
  <si>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</si>
  <si>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</si>
  <si>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</si>
  <si>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</si>
  <si>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</si>
  <si>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</si>
  <si>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</si>
  <si>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</si>
  <si>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</si>
  <si>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</si>
  <si>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</si>
  <si>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</si>
  <si>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</si>
  <si>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</si>
  <si>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</si>
  <si>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</si>
  <si>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</si>
  <si>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</si>
  <si>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</si>
  <si>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</si>
  <si>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</si>
  <si>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</si>
  <si>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</si>
  <si>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</si>
  <si>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</si>
  <si>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</si>
  <si>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</si>
  <si>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</si>
  <si>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</si>
  <si>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</si>
  <si>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</si>
  <si>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</si>
  <si>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</si>
  <si>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</si>
  <si>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</si>
  <si>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</si>
  <si>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</si>
  <si>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</si>
  <si>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</si>
  <si>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</si>
  <si>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</si>
  <si>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</si>
  <si>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</si>
  <si>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</si>
  <si>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</si>
  <si>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</si>
  <si>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</si>
  <si>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</si>
  <si>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</si>
  <si>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</si>
  <si>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</si>
  <si>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</si>
  <si>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</si>
  <si>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</si>
  <si>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</si>
  <si>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</si>
  <si>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</si>
  <si>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</si>
  <si>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</si>
  <si>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</si>
  <si>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</si>
  <si>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</si>
  <si>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</si>
  <si>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</si>
  <si>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</si>
  <si>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</si>
  <si>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</si>
  <si>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</si>
  <si>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</si>
  <si>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</si>
  <si>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</si>
  <si>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</si>
  <si>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</si>
  <si>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</si>
  <si>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</si>
  <si>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</si>
  <si>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</si>
  <si>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</si>
  <si>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</si>
  <si>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</si>
  <si>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</si>
  <si>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</si>
  <si>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</si>
  <si>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</si>
  <si>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</si>
  <si>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</si>
  <si>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</si>
  <si>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</si>
  <si>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</si>
  <si>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</si>
  <si>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</si>
  <si>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</si>
  <si>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</si>
  <si>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</si>
  <si>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</si>
  <si>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</si>
  <si>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</si>
  <si>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</si>
  <si>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</si>
  <si>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</si>
  <si>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</si>
  <si>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</si>
  <si>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</si>
  <si>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</si>
  <si>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</si>
  <si>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</si>
  <si>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</si>
  <si>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</si>
  <si>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</si>
  <si>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</si>
  <si>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</si>
  <si>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</si>
  <si>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</si>
  <si>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</si>
  <si>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</si>
  <si>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</si>
  <si>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</si>
  <si>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</si>
  <si>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</si>
  <si>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</si>
  <si>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</si>
  <si>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</si>
  <si>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</si>
  <si>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</si>
  <si>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</si>
  <si>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</si>
  <si>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</si>
  <si>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</si>
  <si>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</si>
  <si>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</si>
  <si>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</si>
  <si>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</si>
  <si>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</si>
  <si>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</si>
  <si>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</si>
  <si>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</si>
  <si>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</si>
  <si>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</si>
  <si>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</si>
  <si>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</si>
  <si>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</si>
  <si>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</si>
  <si>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</si>
  <si>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</si>
  <si>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</si>
  <si>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</si>
  <si>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</si>
  <si>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</si>
  <si>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</si>
  <si>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</si>
  <si>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</si>
  <si>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</si>
  <si>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</si>
  <si>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</si>
  <si>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</si>
  <si>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</si>
  <si>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</si>
  <si>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</si>
  <si>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</si>
  <si>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</si>
  <si>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</si>
  <si>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</si>
  <si>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</si>
  <si>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</si>
  <si>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</si>
  <si>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</si>
  <si>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</si>
  <si>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</si>
  <si>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</si>
  <si>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</si>
  <si>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</si>
  <si>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</si>
  <si>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</si>
  <si>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</si>
  <si>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</si>
  <si>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</si>
  <si>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</si>
  <si>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</si>
  <si>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</si>
  <si>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</si>
  <si>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</si>
  <si>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</si>
  <si>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</si>
  <si>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</si>
  <si>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</si>
  <si>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</si>
  <si>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</si>
  <si>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</si>
  <si>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</si>
  <si>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</si>
  <si>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</si>
  <si>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</si>
  <si>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</si>
  <si>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</si>
  <si>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</si>
  <si>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</si>
  <si>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</si>
  <si>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</si>
  <si>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</si>
  <si>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</si>
  <si>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</si>
  <si>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</si>
  <si>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</si>
  <si>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</si>
  <si>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</si>
  <si>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</si>
  <si>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</si>
  <si>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</si>
  <si>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</si>
  <si>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</si>
  <si>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</si>
  <si>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</si>
  <si>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</si>
  <si>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</si>
  <si>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</si>
  <si>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</si>
  <si>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</si>
  <si>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</si>
  <si>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</si>
  <si>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</si>
  <si>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</si>
  <si>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</si>
  <si>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</si>
  <si>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</si>
  <si>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</si>
  <si>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</si>
  <si>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</si>
  <si>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</si>
  <si>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</si>
  <si>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</si>
  <si>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</si>
  <si>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</si>
  <si>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</si>
  <si>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</si>
  <si>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</si>
  <si>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</si>
  <si>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</si>
  <si>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</si>
  <si>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</si>
  <si>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</si>
  <si>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</si>
  <si>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</si>
  <si>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</si>
  <si>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</si>
  <si>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</si>
  <si>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</si>
  <si>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</si>
  <si>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</si>
  <si>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</si>
  <si>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</si>
  <si>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</si>
  <si>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</si>
  <si>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</si>
  <si>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</si>
  <si>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</si>
  <si>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</si>
  <si>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</si>
  <si>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</si>
  <si>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</si>
  <si>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</si>
  <si>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</si>
  <si>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</si>
  <si>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</si>
  <si>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</si>
  <si>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</si>
  <si>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</si>
  <si>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</si>
  <si>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</si>
  <si>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</si>
  <si>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</si>
  <si>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</si>
  <si>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</si>
  <si>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</si>
  <si>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</si>
  <si>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</si>
  <si>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</si>
  <si>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</si>
  <si>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</si>
  <si>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</si>
  <si>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</si>
  <si>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</si>
  <si>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</si>
  <si>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</si>
  <si>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</si>
  <si>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</si>
  <si>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</si>
  <si>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</si>
  <si>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</si>
  <si>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</si>
  <si>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</si>
  <si>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</si>
  <si>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</si>
  <si>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</si>
  <si>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</si>
  <si>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</si>
  <si>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</si>
  <si>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</si>
  <si>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</si>
  <si>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</si>
  <si>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</si>
  <si>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</si>
  <si>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</si>
  <si>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</si>
  <si>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</si>
  <si>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</si>
  <si>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</si>
  <si>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</si>
  <si>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</si>
  <si>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</si>
  <si>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</si>
  <si>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</si>
  <si>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</si>
  <si>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</si>
  <si>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</si>
  <si>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</si>
  <si>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</si>
  <si>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</si>
  <si>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</si>
  <si>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</si>
  <si>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</si>
  <si>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</si>
  <si>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</si>
  <si>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</si>
  <si>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</si>
  <si>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</si>
  <si>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</si>
  <si>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</si>
  <si>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</si>
  <si>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</si>
  <si>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</si>
  <si>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</si>
  <si>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</si>
  <si>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</si>
  <si>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</si>
  <si>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</si>
  <si>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</si>
  <si>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</si>
  <si>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</si>
  <si>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</si>
  <si>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</si>
  <si>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</si>
  <si>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</si>
  <si>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</si>
  <si>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</si>
  <si>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</si>
  <si>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</si>
  <si>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</si>
  <si>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</si>
  <si>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</si>
  <si>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</si>
  <si>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</si>
  <si>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</si>
  <si>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</si>
  <si>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</si>
  <si>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</si>
  <si>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</si>
  <si>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</si>
  <si>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</si>
  <si>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</si>
  <si>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</si>
  <si>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</si>
  <si>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</si>
  <si>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</si>
  <si>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</si>
  <si>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</si>
  <si>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</si>
  <si>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</si>
  <si>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</si>
  <si>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</si>
  <si>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</si>
  <si>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</si>
  <si>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</si>
  <si>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</si>
  <si>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</si>
  <si>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</si>
  <si>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</si>
  <si>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</si>
  <si>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</si>
  <si>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</si>
  <si>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</si>
  <si>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</si>
  <si>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</si>
  <si>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</si>
  <si>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</si>
  <si>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</si>
  <si>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</si>
  <si>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</si>
  <si>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</si>
  <si>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</si>
  <si>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</si>
  <si>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</si>
  <si>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</si>
  <si>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</si>
  <si>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</si>
  <si>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</si>
  <si>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</si>
  <si>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</si>
  <si>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</si>
  <si>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</si>
  <si>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</si>
  <si>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</si>
  <si>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</si>
  <si>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</si>
  <si>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</si>
  <si>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</si>
  <si>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</si>
  <si>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</si>
  <si>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</si>
  <si>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</si>
  <si>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</si>
  <si>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</si>
  <si>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</si>
  <si>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</si>
  <si>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</si>
  <si>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</si>
  <si>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</si>
  <si>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</si>
  <si>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</si>
  <si>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</si>
  <si>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</si>
  <si>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</si>
  <si>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</si>
  <si>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</si>
  <si>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</si>
  <si>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</si>
  <si>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</si>
  <si>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</si>
  <si>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</si>
  <si>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</si>
  <si>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</si>
  <si>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</si>
  <si>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</si>
  <si>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</si>
  <si>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</si>
  <si>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</si>
  <si>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</si>
  <si>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</si>
  <si>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</si>
  <si>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</si>
  <si>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</si>
  <si>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</si>
  <si>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</si>
  <si>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</si>
  <si>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</si>
  <si>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</si>
  <si>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</si>
  <si>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</si>
  <si>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</si>
  <si>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</si>
  <si>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</si>
  <si>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</si>
  <si>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</si>
  <si>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</si>
  <si>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</si>
  <si>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</si>
  <si>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</si>
  <si>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</si>
  <si>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</si>
  <si>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</si>
  <si>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</si>
  <si>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</si>
  <si>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</si>
  <si>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</si>
  <si>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</si>
  <si>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</si>
  <si>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</si>
  <si>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</si>
  <si>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</si>
  <si>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</si>
  <si>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</si>
  <si>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</si>
  <si>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</si>
  <si>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</si>
  <si>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</si>
  <si>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</si>
  <si>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</si>
  <si>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</si>
  <si>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</si>
  <si>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</si>
  <si>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</si>
  <si>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</si>
  <si>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</si>
  <si>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</si>
  <si>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</si>
  <si>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</si>
  <si>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</si>
  <si>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</si>
  <si>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</si>
  <si>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</si>
  <si>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</si>
  <si>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</si>
  <si>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</si>
  <si>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</si>
  <si>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</si>
  <si>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</si>
  <si>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</si>
  <si>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</si>
  <si>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</si>
  <si>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</si>
  <si>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</si>
  <si>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</si>
  <si>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</si>
  <si>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</si>
  <si>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</si>
  <si>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</si>
  <si>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</si>
  <si>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</si>
  <si>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</si>
  <si>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</si>
  <si>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</si>
  <si>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</si>
  <si>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</si>
  <si>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</si>
  <si>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</si>
  <si>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</si>
  <si>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</si>
  <si>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</si>
  <si>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</si>
  <si>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</si>
  <si>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</si>
  <si>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</si>
  <si>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</si>
  <si>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</si>
  <si>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</si>
  <si>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</si>
  <si>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</si>
  <si>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</si>
  <si>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</si>
  <si>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</si>
  <si>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</si>
  <si>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</si>
  <si>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</si>
  <si>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</si>
  <si>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</si>
  <si>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</si>
  <si>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</si>
  <si>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</si>
  <si>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</si>
  <si>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</si>
  <si>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</si>
  <si>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</si>
  <si>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</si>
  <si>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</si>
  <si>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</si>
  <si>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</si>
  <si>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</si>
  <si>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</si>
  <si>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</si>
  <si>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</si>
  <si>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</si>
  <si>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</si>
  <si>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</si>
  <si>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</si>
  <si>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</si>
  <si>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</si>
  <si>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</si>
  <si>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</si>
  <si>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</si>
  <si>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</si>
  <si>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</si>
  <si>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</si>
  <si>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</si>
  <si>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</si>
  <si>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</si>
  <si>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</si>
  <si>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</si>
  <si>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</si>
  <si>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</si>
  <si>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</si>
  <si>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</si>
  <si>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</si>
  <si>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</si>
  <si>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</si>
  <si>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</si>
  <si>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</si>
  <si>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</si>
  <si>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</si>
  <si>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</si>
  <si>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</si>
  <si>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</si>
  <si>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</si>
  <si>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</si>
  <si>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</si>
  <si>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</si>
  <si>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</si>
  <si>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</si>
  <si>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</si>
  <si>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</si>
  <si>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</si>
  <si>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</si>
  <si>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</si>
  <si>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</si>
  <si>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</si>
  <si>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</si>
  <si>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</si>
  <si>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</si>
  <si>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</si>
  <si>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</si>
  <si>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</si>
  <si>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</si>
  <si>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</si>
  <si>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</si>
  <si>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</si>
  <si>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</si>
  <si>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</si>
  <si>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</si>
  <si>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</si>
  <si>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</si>
  <si>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</si>
  <si>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</si>
  <si>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</si>
  <si>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</si>
  <si>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</si>
  <si>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</si>
  <si>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</si>
  <si>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</si>
  <si>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</si>
  <si>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</si>
  <si>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</si>
  <si>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</si>
  <si>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</si>
  <si>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</si>
  <si>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</si>
  <si>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</si>
  <si>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</si>
  <si>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</si>
  <si>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</si>
  <si>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</si>
  <si>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</si>
  <si>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</si>
  <si>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</si>
  <si>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</si>
  <si>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</si>
  <si>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</si>
  <si>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</si>
  <si>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</si>
  <si>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</si>
  <si>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</si>
  <si>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</si>
  <si>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</si>
  <si>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</si>
  <si>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</si>
  <si>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</si>
  <si>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</si>
  <si>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</si>
  <si>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</si>
  <si>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</si>
  <si>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</si>
  <si>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</si>
  <si>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</si>
  <si>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</si>
  <si>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</si>
  <si>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</si>
  <si>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</si>
  <si>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</si>
  <si>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</si>
  <si>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</si>
  <si>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</si>
  <si>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</si>
  <si>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</si>
  <si>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</si>
  <si>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</si>
  <si>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</si>
  <si>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</si>
  <si>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</si>
  <si>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</si>
  <si>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</si>
  <si>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</si>
  <si>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</si>
  <si>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</si>
  <si>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</si>
  <si>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</si>
  <si>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</si>
  <si>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</si>
  <si>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</si>
  <si>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</si>
  <si>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</si>
  <si>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</si>
  <si>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</si>
  <si>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</si>
  <si>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</si>
  <si>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</si>
  <si>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</si>
  <si>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</si>
  <si>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</si>
  <si>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</si>
  <si>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</si>
  <si>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</si>
  <si>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</si>
  <si>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</si>
  <si>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</si>
  <si>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</si>
  <si>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</si>
  <si>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</si>
  <si>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</si>
  <si>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</si>
  <si>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</si>
  <si>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</si>
  <si>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</si>
  <si>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</si>
  <si>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</si>
  <si>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</si>
  <si>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</si>
  <si>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</si>
  <si>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</si>
  <si>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</si>
  <si>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</si>
  <si>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</si>
  <si>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</si>
  <si>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</si>
  <si>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</si>
  <si>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</si>
  <si>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</si>
  <si>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</si>
  <si>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</si>
  <si>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</si>
  <si>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</si>
  <si>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</si>
  <si>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</si>
  <si>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</si>
  <si>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</si>
  <si>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</si>
  <si>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</si>
  <si>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</si>
  <si>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</si>
  <si>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</si>
  <si>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</si>
  <si>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</si>
  <si>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</si>
  <si>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</si>
  <si>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</si>
  <si>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</si>
  <si>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</si>
  <si>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</si>
  <si>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</si>
  <si>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</si>
  <si>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</si>
  <si>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</si>
  <si>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</si>
  <si>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</si>
  <si>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</si>
  <si>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</si>
  <si>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</si>
  <si>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</si>
  <si>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</si>
  <si>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</si>
  <si>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</si>
  <si>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</si>
  <si>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</si>
  <si>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</si>
  <si>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</si>
  <si>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</si>
  <si>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</si>
  <si>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</si>
  <si>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</si>
  <si>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</si>
  <si>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</si>
  <si>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</si>
  <si>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</si>
  <si>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</si>
  <si>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</si>
  <si>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</si>
  <si>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</si>
  <si>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</si>
  <si>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</si>
  <si>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</si>
  <si>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</si>
  <si>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</si>
  <si>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</si>
  <si>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</si>
  <si>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</si>
  <si>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</si>
  <si>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</si>
  <si>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</si>
  <si>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</si>
  <si>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</si>
  <si>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</si>
  <si>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</si>
  <si>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</si>
  <si>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</si>
  <si>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</si>
  <si>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</si>
  <si>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</si>
  <si>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</si>
  <si>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</si>
  <si>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</si>
  <si>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</si>
  <si>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</si>
  <si>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</si>
  <si>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</si>
  <si>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</si>
  <si>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</si>
  <si>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</si>
  <si>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</si>
  <si>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</si>
  <si>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</si>
  <si>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</si>
  <si>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</si>
  <si>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</si>
  <si>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</si>
  <si>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</si>
  <si>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</si>
  <si>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</si>
  <si>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</si>
  <si>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</si>
  <si>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</si>
  <si>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</si>
  <si>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</si>
  <si>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</si>
  <si>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</si>
  <si>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</si>
  <si>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</si>
  <si>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</si>
  <si>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</si>
  <si>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</si>
  <si>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</si>
  <si>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</si>
  <si>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</si>
  <si>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</si>
  <si>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</si>
  <si>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</si>
  <si>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</si>
  <si>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</si>
  <si>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</si>
  <si>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</si>
  <si>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</si>
  <si>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</si>
  <si>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</si>
  <si>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</si>
  <si>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</si>
  <si>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</si>
  <si>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</si>
  <si>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</si>
  <si>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</si>
  <si>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</si>
  <si>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</si>
  <si>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</si>
  <si>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</si>
  <si>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</si>
  <si>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</si>
  <si>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</si>
  <si>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</si>
  <si>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</si>
  <si>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</si>
  <si>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</si>
  <si>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</si>
  <si>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</si>
  <si>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</si>
  <si>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</si>
  <si>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</si>
  <si>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</si>
  <si>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</si>
  <si>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</si>
  <si>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</si>
  <si>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</si>
  <si>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</si>
  <si>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</si>
  <si>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</si>
  <si>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</si>
  <si>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</si>
  <si>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</si>
  <si>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</si>
  <si>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</si>
  <si>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</si>
  <si>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</si>
  <si>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</si>
  <si>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</si>
  <si>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</si>
  <si>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</si>
  <si>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</si>
  <si>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</si>
  <si>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</si>
  <si>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</si>
  <si>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</si>
  <si>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</si>
  <si>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</si>
  <si>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</si>
  <si>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</si>
  <si>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</si>
  <si>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</si>
  <si>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</si>
  <si>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</si>
  <si>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</si>
  <si>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</si>
  <si>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</si>
  <si>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</si>
  <si>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</si>
  <si>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</si>
  <si>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</si>
  <si>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</si>
  <si>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</si>
  <si>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</si>
  <si>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</si>
  <si>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</si>
  <si>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</si>
  <si>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</si>
  <si>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</si>
  <si>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</si>
  <si>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</si>
  <si>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</si>
  <si>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</si>
  <si>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</si>
  <si>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</si>
  <si>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</si>
  <si>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</si>
  <si>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</si>
  <si>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</si>
  <si>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</si>
  <si>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</si>
  <si>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</si>
  <si>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</si>
  <si>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</si>
  <si>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</si>
  <si>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</si>
  <si>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</si>
  <si>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</si>
  <si>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</si>
  <si>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</si>
  <si>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</si>
  <si>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</si>
  <si>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</si>
  <si>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</si>
  <si>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</si>
  <si>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</si>
  <si>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</si>
  <si>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</si>
  <si>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</si>
  <si>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</si>
  <si>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</si>
  <si>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</si>
  <si>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</si>
  <si>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</si>
  <si>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</si>
  <si>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</si>
  <si>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</si>
  <si>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</si>
  <si>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</si>
  <si>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</si>
  <si>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</si>
  <si>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</si>
  <si>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</si>
  <si>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</si>
  <si>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</si>
  <si>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</si>
  <si>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</si>
  <si>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</si>
  <si>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</si>
  <si>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</si>
  <si>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</si>
  <si>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</si>
  <si>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</si>
  <si>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</si>
  <si>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</si>
  <si>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</si>
  <si>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</si>
  <si>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</si>
  <si>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</si>
  <si>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</si>
  <si>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</si>
  <si>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</si>
  <si>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</si>
  <si>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</si>
  <si>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</si>
  <si>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</si>
  <si>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</si>
  <si>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</si>
  <si>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</si>
  <si>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</si>
  <si>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</si>
  <si>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</si>
  <si>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</si>
  <si>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</si>
  <si>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</si>
  <si>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</si>
  <si>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</si>
  <si>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</si>
  <si>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</si>
  <si>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</si>
  <si>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</si>
  <si>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</si>
  <si>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</si>
  <si>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</si>
  <si>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</si>
  <si>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</si>
  <si>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</si>
  <si>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</si>
  <si>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</si>
  <si>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</si>
  <si>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</si>
  <si>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</si>
  <si>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</si>
  <si>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</si>
  <si>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</si>
  <si>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</si>
  <si>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</si>
  <si>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</si>
  <si>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</si>
  <si>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</si>
  <si>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</si>
  <si>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</si>
  <si>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</si>
  <si>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</si>
  <si>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</si>
  <si>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</si>
  <si>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</si>
  <si>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</si>
  <si>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</si>
  <si>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</si>
  <si>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</si>
  <si>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</si>
  <si>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</si>
  <si>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</si>
  <si>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</si>
  <si>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</si>
  <si>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</si>
  <si>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</si>
  <si>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</si>
  <si>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</si>
  <si>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</si>
  <si>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</si>
  <si>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</si>
  <si>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</si>
  <si>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</si>
  <si>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</si>
  <si>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</si>
  <si>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</si>
  <si>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</si>
  <si>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</si>
  <si>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</si>
  <si>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</si>
  <si>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</si>
  <si>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</si>
  <si>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</si>
  <si>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</si>
  <si>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</si>
  <si>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</si>
  <si>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</si>
  <si>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</si>
  <si>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</si>
  <si>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</si>
  <si>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</si>
  <si>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</si>
  <si>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</si>
  <si>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</si>
  <si>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</si>
  <si>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</si>
  <si>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</si>
  <si>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</si>
  <si>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</si>
  <si>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</si>
  <si>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</si>
  <si>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</si>
  <si>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</si>
  <si>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</si>
  <si>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</si>
  <si>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</si>
  <si>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</si>
  <si>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</si>
  <si>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</si>
  <si>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</si>
  <si>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</si>
  <si>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</si>
  <si>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</si>
  <si>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</si>
  <si>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</si>
  <si>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</si>
  <si>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</si>
  <si>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</si>
  <si>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</si>
  <si>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</si>
  <si>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</si>
  <si>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</si>
  <si>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</si>
  <si>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</si>
  <si>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</si>
  <si>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</si>
  <si>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</si>
  <si>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</si>
  <si>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</si>
  <si>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</si>
  <si>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</si>
  <si>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</si>
  <si>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</si>
  <si>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</si>
  <si>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</si>
  <si>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</si>
  <si>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</si>
  <si>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</si>
  <si>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</si>
  <si>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</si>
  <si>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</si>
  <si>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</si>
  <si>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</si>
  <si>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</si>
  <si>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</si>
  <si>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</si>
  <si>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</si>
  <si>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</si>
  <si>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</si>
  <si>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</si>
  <si>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</si>
  <si>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</si>
  <si>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</si>
  <si>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</si>
  <si>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</si>
  <si>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</si>
  <si>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</si>
  <si>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</si>
  <si>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</si>
  <si>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</si>
  <si>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</si>
  <si>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</si>
  <si>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</si>
  <si>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</si>
  <si>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</si>
  <si>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</si>
  <si>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</si>
  <si>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</si>
  <si>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</si>
  <si>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</si>
  <si>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</si>
  <si>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</si>
  <si>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</si>
  <si>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</si>
  <si>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</si>
  <si>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</si>
  <si>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</si>
  <si>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</si>
  <si>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</si>
  <si>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</si>
  <si>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</si>
  <si>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</si>
  <si>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</si>
  <si>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</si>
  <si>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</si>
  <si>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</si>
  <si>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</si>
  <si>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</si>
  <si>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</si>
  <si>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</si>
  <si>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</si>
  <si>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</si>
  <si>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</si>
  <si>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</si>
  <si>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</si>
  <si>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</si>
  <si>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</si>
  <si>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</si>
  <si>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</si>
  <si>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</si>
  <si>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</si>
  <si>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</si>
  <si>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</si>
  <si>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</si>
  <si>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</si>
  <si>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</si>
  <si>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</si>
  <si>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</si>
  <si>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</si>
  <si>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</si>
  <si>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</si>
  <si>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</si>
  <si>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</si>
  <si>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</si>
  <si>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</si>
  <si>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</si>
  <si>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</si>
  <si>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</si>
  <si>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</si>
  <si>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</si>
  <si>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</si>
  <si>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</si>
  <si>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</si>
  <si>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</si>
  <si>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</si>
  <si>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</si>
  <si>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</si>
  <si>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</si>
  <si>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</si>
  <si>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</si>
  <si>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</si>
  <si>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</si>
  <si>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</si>
  <si>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</si>
  <si>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</si>
  <si>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</si>
  <si>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</si>
  <si>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</si>
  <si>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</si>
  <si>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</si>
  <si>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</si>
  <si>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</si>
  <si>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</si>
  <si>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</si>
  <si>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</si>
  <si>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</si>
  <si>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</si>
  <si>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</si>
  <si>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</si>
  <si>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</si>
  <si>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</si>
  <si>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</si>
  <si>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</si>
  <si>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</si>
  <si>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</si>
  <si>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</si>
  <si>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</si>
  <si>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</si>
  <si>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</si>
  <si>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</si>
  <si>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</si>
  <si>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</si>
  <si>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</si>
  <si>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</si>
  <si>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</si>
  <si>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</si>
  <si>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</si>
  <si>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</si>
  <si>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</si>
  <si>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</si>
  <si>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</si>
  <si>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</si>
  <si>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</si>
  <si>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</si>
  <si>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</si>
  <si>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</si>
  <si>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</si>
  <si>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</si>
  <si>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</si>
  <si>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</si>
  <si>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</si>
  <si>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</si>
  <si>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</si>
  <si>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</si>
  <si>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</si>
  <si>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</si>
  <si>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</si>
  <si>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</si>
  <si>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</si>
  <si>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</si>
  <si>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</si>
  <si>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</si>
  <si>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</si>
  <si>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</si>
  <si>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</si>
  <si>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</si>
  <si>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</si>
  <si>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</si>
  <si>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</si>
  <si>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</si>
  <si>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</si>
  <si>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</si>
  <si>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</si>
  <si>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</si>
  <si>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</si>
  <si>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</si>
  <si>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</si>
  <si>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</si>
  <si>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</si>
  <si>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</si>
  <si>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</si>
  <si>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</si>
  <si>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</si>
  <si>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</si>
  <si>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</si>
  <si>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</si>
  <si>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</si>
  <si>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</si>
  <si>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</si>
  <si>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</si>
  <si>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</si>
  <si>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</si>
  <si>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</si>
  <si>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</si>
  <si>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</si>
  <si>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</si>
  <si>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</si>
  <si>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</si>
  <si>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</si>
  <si>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</si>
  <si>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</si>
  <si>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</si>
  <si>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</si>
  <si>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</si>
  <si>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</si>
  <si>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</si>
  <si>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</si>
  <si>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</si>
  <si>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</si>
  <si>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</si>
  <si>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</si>
  <si>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</si>
  <si>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</si>
  <si>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</si>
  <si>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</si>
  <si>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</si>
  <si>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</si>
  <si>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</si>
  <si>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</si>
  <si>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</si>
  <si>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</si>
  <si>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</si>
  <si>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</si>
  <si>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</si>
  <si>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</si>
  <si>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</si>
  <si>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</si>
  <si>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</si>
  <si>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</si>
  <si>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</si>
  <si>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</si>
  <si>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</si>
  <si>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</si>
  <si>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</si>
  <si>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</si>
  <si>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</si>
  <si>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</si>
  <si>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</si>
  <si>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</si>
  <si>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</si>
  <si>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</si>
  <si>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</si>
  <si>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</si>
  <si>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</si>
  <si>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</si>
  <si>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</si>
  <si>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</si>
  <si>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</si>
  <si>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</si>
  <si>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</si>
  <si>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</si>
  <si>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</si>
  <si>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</si>
  <si>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</si>
  <si>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</si>
  <si>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</si>
  <si>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</si>
  <si>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</si>
  <si>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</si>
  <si>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</si>
  <si>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</si>
  <si>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</si>
  <si>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</si>
  <si>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</si>
  <si>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</si>
  <si>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</si>
  <si>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</si>
  <si>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</si>
  <si>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</si>
  <si>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</si>
  <si>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</si>
  <si>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</si>
  <si>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</si>
  <si>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</si>
  <si>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</si>
  <si>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</si>
  <si>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</si>
  <si>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</si>
  <si>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</si>
  <si>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</si>
  <si>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</si>
  <si>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</si>
  <si>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</si>
  <si>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</si>
  <si>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</si>
  <si>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</si>
  <si>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</si>
  <si>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</si>
  <si>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</si>
  <si>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</si>
  <si>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</si>
  <si>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</si>
  <si>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</si>
  <si>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</si>
  <si>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</si>
  <si>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</si>
  <si>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</si>
  <si>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</si>
  <si>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</si>
  <si>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</si>
  <si>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</si>
  <si>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</si>
  <si>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</si>
  <si>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</si>
  <si>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</si>
  <si>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</si>
  <si>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</si>
  <si>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</si>
  <si>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</si>
  <si>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</si>
  <si>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</si>
  <si>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</si>
  <si>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</si>
  <si>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</si>
  <si>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</si>
  <si>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</si>
  <si>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</si>
  <si>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</si>
  <si>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</si>
  <si>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</si>
  <si>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</si>
  <si>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</si>
  <si>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</si>
  <si>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</si>
  <si>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</si>
  <si>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</si>
  <si>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</si>
  <si>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</si>
  <si>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</si>
  <si>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</si>
  <si>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</si>
  <si>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</si>
  <si>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</si>
  <si>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</si>
  <si>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</si>
  <si>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</si>
  <si>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</si>
  <si>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</si>
  <si>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</si>
  <si>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</si>
  <si>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</si>
  <si>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</si>
  <si>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</si>
  <si>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</si>
  <si>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</si>
  <si>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</si>
  <si>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</si>
  <si>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</si>
  <si>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</si>
  <si>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</si>
  <si>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</si>
  <si>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</si>
  <si>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</si>
  <si>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</si>
  <si>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</si>
  <si>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</si>
  <si>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</si>
  <si>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</si>
  <si>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</si>
  <si>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</si>
  <si>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</si>
  <si>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</si>
  <si>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</si>
  <si>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</si>
  <si>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</si>
  <si>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</si>
  <si>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</si>
  <si>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</si>
  <si>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</si>
  <si>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</si>
  <si>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</si>
  <si>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</si>
  <si>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</si>
  <si>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</si>
  <si>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</si>
  <si>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</si>
  <si>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Pendente de entrega do lado de LT PM</t>
  </si>
  <si>
    <t>Concluído</t>
  </si>
  <si>
    <t>Nova data de entrega &gt; de 28/11 para 04/12</t>
  </si>
  <si>
    <t>GLOVAL - Tabela unificada/ traçabilidade</t>
  </si>
  <si>
    <t>GLOVAL - Reprocessamento via front</t>
  </si>
  <si>
    <t>IT - Em implementação</t>
  </si>
  <si>
    <t>NYD - Em teste</t>
  </si>
  <si>
    <t>IT - Correção de incidências</t>
  </si>
  <si>
    <t>Entrega #1 (Re-especificação 2)</t>
  </si>
  <si>
    <t>Entrega #2 (Re-especificação2)</t>
  </si>
  <si>
    <t>Novo campo na tabela. Nova data de entrega de 05/12 para 19/12</t>
  </si>
  <si>
    <t>Com incidência do lado de PM e dependente do campo cgarant bem do MBI</t>
  </si>
  <si>
    <t>Nova data de entrega &gt; de 28/11 para 02/12</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</si>
  <si>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</si>
  <si>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</si>
  <si>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</si>
  <si>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</si>
  <si>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</si>
  <si>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</si>
  <si>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</si>
  <si>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</si>
  <si>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</si>
  <si>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</si>
  <si>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</si>
  <si>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</si>
  <si>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</si>
  <si>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</si>
  <si>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</si>
  <si>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</si>
  <si>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</si>
  <si>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</si>
  <si>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</si>
  <si>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Plano</t>
  </si>
  <si>
    <t>Satus s/ cancelados</t>
  </si>
  <si>
    <t>-</t>
  </si>
  <si>
    <t>T. Campos</t>
  </si>
  <si>
    <t>T. Concluídos</t>
  </si>
  <si>
    <t>T. Cancelados</t>
  </si>
  <si>
    <t>06/12: Conclusão de teste aos campos</t>
  </si>
  <si>
    <t>Campo com incidência -&gt; a aguardar data de entrega</t>
  </si>
  <si>
    <t>Entrega #2 (Incidências)</t>
  </si>
  <si>
    <t>Entrega #2 (Re-especificação)</t>
  </si>
  <si>
    <t>Entrega #5 (Incidências)</t>
  </si>
  <si>
    <t>Apesar de entregue, não é possível testar por temos de usuário</t>
  </si>
  <si>
    <t>Entrega de IT adiada. Será testado em Janeiro na extensão do projeto</t>
  </si>
  <si>
    <t xml:space="preserve">Entrega #1 </t>
  </si>
  <si>
    <t>13/12: Conclusão de teste aos campos</t>
  </si>
  <si>
    <t>13/12: Conclusão de teste ao campo</t>
  </si>
  <si>
    <t>Campos com incidências -&gt; a aguardar data de entrega</t>
  </si>
  <si>
    <r>
      <t xml:space="preserve">OK </t>
    </r>
    <r>
      <rPr>
        <sz val="11"/>
        <color theme="1"/>
        <rFont val="Santander Text"/>
        <family val="2"/>
      </rPr>
      <t>(Em falta portfolio Project Finance)</t>
    </r>
  </si>
  <si>
    <r>
      <rPr>
        <b/>
        <sz val="11"/>
        <rFont val="Santander Text"/>
        <family val="2"/>
      </rPr>
      <t xml:space="preserve">  Testes 20 e 23/Dez: </t>
    </r>
    <r>
      <rPr>
        <sz val="11"/>
        <rFont val="Santander Text"/>
        <family val="2"/>
      </rPr>
      <t xml:space="preserve">
</t>
    </r>
    <r>
      <rPr>
        <b/>
        <sz val="11"/>
        <rFont val="Santander Text"/>
        <family val="2"/>
      </rPr>
      <t xml:space="preserve">  1. Modelo Verde:</t>
    </r>
    <r>
      <rPr>
        <sz val="11"/>
        <rFont val="Santander Text"/>
        <family val="2"/>
      </rPr>
      <t xml:space="preserve"> Foram concluídos 11 campos dos 16 previstos da tabela de output de Clientes. 5 necessitam de re-especificação devido a alterações de inputs.
</t>
    </r>
    <r>
      <rPr>
        <b/>
        <sz val="11"/>
        <rFont val="Santander Text"/>
        <family val="2"/>
      </rPr>
      <t xml:space="preserve">  2. Pilar III:</t>
    </r>
    <r>
      <rPr>
        <sz val="11"/>
        <rFont val="Santander Text"/>
        <family val="2"/>
      </rPr>
      <t xml:space="preserve"> Dos 29 campos previstos fechar no Pilar III foram concluídos 15. 
  - 6 foram testados mas reportados com incidências
  - 2 não foram possíveis testar por dependência da atualização das Categorias SFICS
  - 3 estão pendentes: a) da atualização da tabela de parametrização de Marcação Verde do Modelo Verde; b) Da implementação do campo 'cagarant_bem' da tabela de Bens do Modelo de Bens Imóveis
  - Não foi possível concluir os testes de 6 campos para a totalidade do universo 
</t>
    </r>
    <r>
      <rPr>
        <b/>
        <sz val="11"/>
        <rFont val="Santander Text"/>
        <family val="2"/>
      </rPr>
      <t xml:space="preserve">  Testes 10/Jan:</t>
    </r>
    <r>
      <rPr>
        <sz val="11"/>
        <rFont val="Santander Text"/>
        <family val="2"/>
      </rPr>
      <t xml:space="preserve">
</t>
    </r>
    <r>
      <rPr>
        <b/>
        <sz val="11"/>
        <rFont val="Santander Text"/>
        <family val="2"/>
      </rPr>
      <t xml:space="preserve">  1. Modelo Bens Imóveis:</t>
    </r>
    <r>
      <rPr>
        <sz val="11"/>
        <rFont val="Santander Text"/>
        <family val="2"/>
      </rPr>
      <t xml:space="preserve"> Está previsto testar 13 campos do Modelo verde 
</t>
    </r>
    <r>
      <rPr>
        <b/>
        <sz val="11"/>
        <rFont val="Santander Text"/>
        <family val="2"/>
      </rPr>
      <t xml:space="preserve">  2. Modelo Verde:</t>
    </r>
    <r>
      <rPr>
        <sz val="11"/>
        <rFont val="Santander Text"/>
        <family val="2"/>
      </rPr>
      <t xml:space="preserve"> Está previsto testar 5 campos que não foram possíveis testar a 20 e 23 /Dez
</t>
    </r>
    <r>
      <rPr>
        <b/>
        <sz val="11"/>
        <rFont val="Santander Text"/>
        <family val="2"/>
      </rPr>
      <t xml:space="preserve">  3. Pilar III: </t>
    </r>
    <r>
      <rPr>
        <sz val="11"/>
        <rFont val="Santander Text"/>
        <family val="2"/>
      </rPr>
      <t xml:space="preserve">Está previsto testar 14 campos que não foram possíveis testar a 20 e 23 /Dez
 </t>
    </r>
  </si>
  <si>
    <t>- Concluídos 11 campos da Tabela de Clientes do Modelo Verde
- Concluídos 15 campos da Loan Tape Pilar III</t>
  </si>
  <si>
    <t>Campos com incidência -&gt; a aguardar data de entrega</t>
  </si>
  <si>
    <t>20/12: Conclusão de teste ao campo</t>
  </si>
  <si>
    <t>20/12: Conclusão de teste aos campos</t>
  </si>
  <si>
    <t>Pendente Mapeamento Categoria SFICS</t>
  </si>
  <si>
    <t>Pendente de alteração de parametrizaçao de marcação verde (categorias SFICS)</t>
  </si>
  <si>
    <t>Nova data de entrega de  28/11para 04/12. Nova data de entrega de 04/12 para 09/01</t>
  </si>
  <si>
    <t>Entrega #4 (Incidências)</t>
  </si>
  <si>
    <t>X</t>
  </si>
  <si>
    <t>Campo em Re-especificação devido a alterações inputs Corporação</t>
  </si>
  <si>
    <t>Entrega #1 (Pendência)</t>
  </si>
  <si>
    <t>Entrega #3 (Pendência)</t>
  </si>
  <si>
    <t>A validar por CDO</t>
  </si>
  <si>
    <t>Em Re-especificação</t>
  </si>
  <si>
    <r>
      <t>1.</t>
    </r>
    <r>
      <rPr>
        <b/>
        <sz val="11"/>
        <rFont val="Santander Text"/>
        <family val="2"/>
      </rPr>
      <t xml:space="preserve"> Testes:</t>
    </r>
    <r>
      <rPr>
        <sz val="11"/>
        <rFont val="Santander Text"/>
        <family val="2"/>
      </rPr>
      <t xml:space="preserve">
- Testado o campo CGARANT_BEM (</t>
    </r>
    <r>
      <rPr>
        <b/>
        <sz val="11"/>
        <rFont val="Santander Text"/>
        <family val="2"/>
      </rPr>
      <t>tabela Property</t>
    </r>
    <r>
      <rPr>
        <sz val="11"/>
        <rFont val="Santander Text"/>
        <family val="2"/>
      </rPr>
      <t xml:space="preserve">), o que permitiu concluir a tabela.
- Conforme previsto, foram realizados os testes à tabela de input da </t>
    </r>
    <r>
      <rPr>
        <b/>
        <sz val="11"/>
        <rFont val="Santander Text"/>
        <family val="2"/>
      </rPr>
      <t xml:space="preserve">Gloval </t>
    </r>
    <r>
      <rPr>
        <sz val="11"/>
        <rFont val="Santander Text"/>
        <family val="2"/>
      </rPr>
      <t>bem como à tabela unificada/ traçabilidade. Contudo, a tabela de input encontra-se em Validação EF uma vez que está dependente de validação do CDO.</t>
    </r>
    <r>
      <rPr>
        <b/>
        <sz val="11"/>
        <color theme="1"/>
        <rFont val="Santander Text"/>
        <family val="2"/>
      </rPr>
      <t xml:space="preserve">
</t>
    </r>
    <r>
      <rPr>
        <sz val="11"/>
        <rFont val="Santander Text"/>
        <family val="2"/>
      </rPr>
      <t xml:space="preserve">
 </t>
    </r>
  </si>
  <si>
    <t>Em Correção</t>
  </si>
  <si>
    <r>
      <rPr>
        <b/>
        <sz val="11"/>
        <color theme="1"/>
        <rFont val="Santander Text"/>
        <family val="2"/>
      </rPr>
      <t>1. Testes:</t>
    </r>
    <r>
      <rPr>
        <sz val="11"/>
        <color theme="1"/>
        <rFont val="Santander Text"/>
        <family val="2"/>
      </rPr>
      <t xml:space="preserve">
</t>
    </r>
    <r>
      <rPr>
        <b/>
        <sz val="11"/>
        <color theme="1"/>
        <rFont val="Santander Text"/>
        <family val="2"/>
      </rPr>
      <t>Tabela de Clientes (lt003_entity):</t>
    </r>
    <r>
      <rPr>
        <sz val="11"/>
        <color theme="1"/>
        <rFont val="Santander Text"/>
        <family val="2"/>
      </rPr>
      <t xml:space="preserve"> 
- Foram reabertos os 6 campos para incluir a especificação do portfólio de Project Finance  [conforme referido no último PdS].
- Foi reaberto 1 campo (code_nace_esg) porque os códigos foram atualizados.
</t>
    </r>
    <r>
      <rPr>
        <b/>
        <sz val="11"/>
        <color theme="1"/>
        <rFont val="Santander Text"/>
        <family val="2"/>
      </rPr>
      <t>Tabela de Contratos (lt002_instrument):</t>
    </r>
    <r>
      <rPr>
        <sz val="11"/>
        <color theme="1"/>
        <rFont val="Santander Text"/>
        <family val="2"/>
      </rPr>
      <t xml:space="preserve">
- Foram reabertos 3 campos para incluir a especificação do portfólio de Project Finance  [conforme referido no último PdS]
- 1 não foi possível testar por dependência da atualização das Categorias SFICS (reunião prevista para 13/01 com a área de ESG Risk) e aguarda esclarecimento da Corporação.
</t>
    </r>
    <r>
      <rPr>
        <b/>
        <sz val="11"/>
        <color theme="1"/>
        <rFont val="Santander Text"/>
        <family val="2"/>
      </rPr>
      <t>Tabela da relação do Contrato/Categoria (lt007_instr_activity):</t>
    </r>
    <r>
      <rPr>
        <sz val="11"/>
        <color theme="1"/>
        <rFont val="Santander Text"/>
        <family val="2"/>
      </rPr>
      <t xml:space="preserve">
- 1 não foi possível testar por dependência da atualização das Categorias SFICS (reunião prevista para 13/01 com a área de ESG Risk) 
</t>
    </r>
    <r>
      <rPr>
        <b/>
        <sz val="11"/>
        <color theme="1"/>
        <rFont val="Santander Text"/>
        <family val="2"/>
      </rPr>
      <t xml:space="preserve">Tabela de Garantias (lt004_protection):
</t>
    </r>
    <r>
      <rPr>
        <sz val="11"/>
        <color theme="1"/>
        <rFont val="Santander Text"/>
        <family val="2"/>
      </rPr>
      <t xml:space="preserve">- Concluídos 11 campos. 
- 1 campo encontra-se com incidências
</t>
    </r>
  </si>
  <si>
    <r>
      <t>1.</t>
    </r>
    <r>
      <rPr>
        <b/>
        <sz val="11"/>
        <color theme="1"/>
        <rFont val="Santander Text"/>
        <family val="2"/>
      </rPr>
      <t xml:space="preserve"> Datas de entrega de Tecnologia:</t>
    </r>
    <r>
      <rPr>
        <sz val="11"/>
        <color theme="1"/>
        <rFont val="Santander Text"/>
        <family val="2"/>
      </rPr>
      <t xml:space="preserve">
- Risco Físico Clientes e Bens Imóveis com input Munich Re:</t>
    </r>
    <r>
      <rPr>
        <b/>
        <sz val="11"/>
        <rFont val="Santander Text"/>
        <family val="2"/>
      </rPr>
      <t xml:space="preserve"> </t>
    </r>
    <r>
      <rPr>
        <sz val="11"/>
        <rFont val="Santander Text"/>
        <family val="2"/>
      </rPr>
      <t xml:space="preserve">(8 campos) </t>
    </r>
    <r>
      <rPr>
        <sz val="11"/>
        <color theme="7"/>
        <rFont val="Santander Text"/>
        <family val="2"/>
      </rPr>
      <t xml:space="preserve"> </t>
    </r>
    <r>
      <rPr>
        <b/>
        <sz val="11"/>
        <color theme="1"/>
        <rFont val="Santander Text"/>
        <family val="2"/>
      </rPr>
      <t xml:space="preserve">-&gt; tbd
</t>
    </r>
    <r>
      <rPr>
        <sz val="11"/>
        <color theme="1"/>
        <rFont val="Santander Text"/>
        <family val="2"/>
      </rPr>
      <t>- Emissões Project Finance (tabela de Clientes) (6 campos) -&gt;</t>
    </r>
    <r>
      <rPr>
        <b/>
        <sz val="11"/>
        <color theme="1"/>
        <rFont val="Santander Text"/>
        <family val="2"/>
      </rPr>
      <t xml:space="preserve"> tbd
2. Especificações:
</t>
    </r>
    <r>
      <rPr>
        <sz val="11"/>
        <color theme="1"/>
        <rFont val="Santander Text"/>
        <family val="2"/>
      </rPr>
      <t xml:space="preserve">- </t>
    </r>
    <r>
      <rPr>
        <b/>
        <sz val="11"/>
        <color theme="1"/>
        <rFont val="Santander Text"/>
        <family val="2"/>
      </rPr>
      <t>Concluída a especificação do Portfolio de Project Finance</t>
    </r>
    <r>
      <rPr>
        <sz val="11"/>
        <color theme="1"/>
        <rFont val="Santander Text"/>
        <family val="2"/>
      </rPr>
      <t xml:space="preserve">
- </t>
    </r>
    <r>
      <rPr>
        <b/>
        <sz val="11"/>
        <color theme="1"/>
        <rFont val="Santander Text"/>
        <family val="2"/>
      </rPr>
      <t>Re-especificação dos 12 campos de Marcação Verde</t>
    </r>
    <r>
      <rPr>
        <sz val="11"/>
        <color theme="1"/>
        <rFont val="Santander Text"/>
        <family val="2"/>
      </rPr>
      <t xml:space="preserve"> em curso, de modo a ficar </t>
    </r>
    <r>
      <rPr>
        <b/>
        <sz val="11"/>
        <color theme="1"/>
        <rFont val="Santander Text"/>
        <family val="2"/>
      </rPr>
      <t>alinhada com o que será feito no Green Dashboard</t>
    </r>
    <r>
      <rPr>
        <sz val="11"/>
        <color theme="1"/>
        <rFont val="Santander Text"/>
        <family val="2"/>
      </rPr>
      <t>. Está prevista uma reunião para o dia 13/01 com a área de ESG Risk para conclusão da re-especificação. Adicionalmente, foi realizada uma sessão com a Ana Lamúrias para validação do método de ponderação dos contratos. Está também agendada uma reunião para 14/01 com o CDO para validação do novo input necessário para o Portfolio de Project Finance.</t>
    </r>
    <r>
      <rPr>
        <b/>
        <sz val="11"/>
        <color theme="1"/>
        <rFont val="Santander Text"/>
        <family val="2"/>
      </rPr>
      <t xml:space="preserve">
3. Testes:</t>
    </r>
    <r>
      <rPr>
        <sz val="11"/>
        <color theme="1"/>
        <rFont val="Santander Text"/>
        <family val="2"/>
      </rPr>
      <t xml:space="preserve">
</t>
    </r>
    <r>
      <rPr>
        <b/>
        <sz val="11"/>
        <color theme="1"/>
        <rFont val="Santander Text"/>
        <family val="2"/>
      </rPr>
      <t>Tabela de Output de Clientes:</t>
    </r>
    <r>
      <rPr>
        <sz val="11"/>
        <color theme="1"/>
        <rFont val="Santander Text"/>
        <family val="2"/>
      </rPr>
      <t xml:space="preserve"> 
- Foram </t>
    </r>
    <r>
      <rPr>
        <b/>
        <sz val="11"/>
        <color theme="1"/>
        <rFont val="Santander Text"/>
        <family val="2"/>
      </rPr>
      <t>reabertos os 6 campos</t>
    </r>
    <r>
      <rPr>
        <sz val="11"/>
        <color theme="1"/>
        <rFont val="Santander Text"/>
        <family val="2"/>
      </rPr>
      <t xml:space="preserve"> que necessitam de ser retestados para inclusão do </t>
    </r>
    <r>
      <rPr>
        <b/>
        <sz val="11"/>
        <color theme="1"/>
        <rFont val="Santander Text"/>
        <family val="2"/>
      </rPr>
      <t>Portfolio de Project Finance</t>
    </r>
    <r>
      <rPr>
        <sz val="11"/>
        <color theme="1"/>
        <rFont val="Santander Text"/>
        <family val="2"/>
      </rPr>
      <t xml:space="preserve"> [conforme referido no último PdS]
- Foi reaberto 1 campo (code_nace) porque os códigos foram atualizados
- Foram </t>
    </r>
    <r>
      <rPr>
        <b/>
        <sz val="11"/>
        <color theme="1"/>
        <rFont val="Santander Text"/>
        <family val="2"/>
      </rPr>
      <t>concluídos 2 campos</t>
    </r>
    <r>
      <rPr>
        <sz val="11"/>
        <color theme="1"/>
        <rFont val="Santander Text"/>
        <family val="2"/>
      </rPr>
      <t xml:space="preserve"> dos 5 previstos. Os restantes 3 não foram possíveis testar porque sofreram re-especificação devido a alterações no input da Corporação [conforme referido no último PdS]. Os campos foram implementados e entregues por Tecnologia no final da semana, pelo que serão testados durante a próxima semana.
</t>
    </r>
  </si>
  <si>
    <r>
      <t>Sumário Executivo</t>
    </r>
    <r>
      <rPr>
        <b/>
        <sz val="14"/>
        <color theme="4"/>
        <rFont val="Santander Text"/>
        <family val="2"/>
      </rPr>
      <t xml:space="preserve"> |</t>
    </r>
    <r>
      <rPr>
        <b/>
        <sz val="11"/>
        <color theme="4"/>
        <rFont val="Santander Text"/>
        <family val="2"/>
      </rPr>
      <t>02 de janeiro a 10 de janeiro</t>
    </r>
  </si>
  <si>
    <r>
      <rPr>
        <b/>
        <sz val="11"/>
        <rFont val="Santander Text"/>
        <family val="2"/>
      </rPr>
      <t xml:space="preserve">  Testes 03 e 10 de janeiro: </t>
    </r>
    <r>
      <rPr>
        <sz val="11"/>
        <rFont val="Santander Text"/>
        <family val="2"/>
      </rPr>
      <t xml:space="preserve">
</t>
    </r>
    <r>
      <rPr>
        <b/>
        <sz val="11"/>
        <rFont val="Santander Text"/>
        <family val="2"/>
      </rPr>
      <t xml:space="preserve"> 1. Modelo de Bens Imóveis:</t>
    </r>
    <r>
      <rPr>
        <sz val="11"/>
        <rFont val="Santander Text"/>
        <family val="2"/>
      </rPr>
      <t xml:space="preserve"> Foi concluído 1 dos 13 campos previstos. Os restantes 12 são referentes à tabela de input da Gloval. Os campos foram testados, contudo aguardam validação de CDO e envio do incremento de carteira da Gloval. Por estes motivos, não foi possível dar a tabela como concluída.
</t>
    </r>
    <r>
      <rPr>
        <b/>
        <sz val="11"/>
        <rFont val="Santander Text"/>
        <family val="2"/>
      </rPr>
      <t>2. Modelo Verde:</t>
    </r>
    <r>
      <rPr>
        <sz val="11"/>
        <rFont val="Santander Text"/>
        <family val="2"/>
      </rPr>
      <t xml:space="preserve"> 
- Foram concluídos 2 dos 5 campos previstos da tabela de output de Clientes. Os restantes 3 sofreram re-especificação devido a alterações no input da corporação  [conforme referido no último PdS]. A equipa de testes já fechou a re-especificação e a equipa de Tecnologia terminou esta semana a implementação. Por este motivo, os campos serão testados durante a próxima semana.
- Adicionalmente, foi fechada a especificação das emissões do Portfolio de Project Finance
- Por fim, os 12 campos da tabela de Output de Marcação Verde encontram-se em re-especificação de modo a ficarem alinhados com o que será realizado no âmbito Green Dashboard. Está agendada uma reunião para o dia 13/01 com a área de ESG Risk para concluir a especificação dos campos.
3. Pilar III: Dos 14 campos previstos fechar no Pilar III foram concluídos 11. 
  - 1 foi testado mas reportados com incidências
  - 2 não foram possíveis testar por dependência da atualização das Categorias SFICS (reunião para o dia 13/01 com a área de ESG Risk)
  Testes 17/Jan:
  1. Modelo Bens Imóveis: Está previsto testar 13 campos do Modelo verde 
  2. Modelo Verde: Está previsto testar 5 campos que não foram possíveis testar a 20 e 23 /Dez
  3. Pilar III: Está previsto testar 14 campos que não foram possíveis testar a 20 e 23 /Dez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</si>
</sst>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FF0000"/>
      <name val="Calibri"/>
      <family val="2"/>
    </font>
    <font>
      <b/>
      <sz val="11"/>
      <color rgb="FF000000"/>
      <name val="Calibri"/>
      <family val="2"/>
    </font>
    <font>
      <b/>
      <sz val="11"/>
      <color theme="9" tint="-0.499984740745262"/>
      <name val="Santander Text"/>
      <family val="2"/>
    </font>
  </fonts>
  <fills count="3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53">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4"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5"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6" fillId="0" borderId="25" xfId="0" applyNumberFormat="1" applyFont="1" applyFill="1" applyBorder="1"/>
    <xf numFmtId="14" fontId="66" fillId="0" borderId="32" xfId="0" applyNumberFormat="1" applyFont="1" applyFill="1" applyBorder="1"/>
    <xf numFmtId="0" fontId="67"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8" fillId="0" borderId="0" xfId="0" applyFont="1"/>
    <xf numFmtId="0" fontId="69" fillId="4" borderId="0" xfId="0" applyFont="1" applyFill="1" applyAlignment="1">
      <alignment vertical="center"/>
    </xf>
    <xf numFmtId="0" fontId="69" fillId="26" borderId="0" xfId="0" applyFont="1" applyFill="1" applyAlignment="1">
      <alignment vertical="center"/>
    </xf>
    <xf numFmtId="0" fontId="70" fillId="0" borderId="0" xfId="0" applyFont="1" applyAlignment="1">
      <alignment horizontal="center" vertical="center"/>
    </xf>
    <xf numFmtId="0" fontId="70" fillId="27" borderId="0" xfId="0" applyFont="1" applyFill="1" applyAlignment="1">
      <alignment horizontal="center" vertical="center"/>
    </xf>
    <xf numFmtId="0" fontId="71" fillId="27" borderId="0" xfId="0" applyFont="1" applyFill="1" applyAlignment="1">
      <alignment horizontal="center" vertical="center"/>
    </xf>
    <xf numFmtId="0" fontId="72" fillId="28" borderId="34" xfId="0" applyFont="1" applyFill="1" applyBorder="1" applyAlignment="1">
      <alignment vertical="center"/>
    </xf>
    <xf numFmtId="0" fontId="72" fillId="0" borderId="35" xfId="0" applyFont="1" applyBorder="1" applyAlignment="1">
      <alignment horizontal="center" vertical="center"/>
    </xf>
    <xf numFmtId="0" fontId="72"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9" fillId="26" borderId="0" xfId="0" applyFont="1" applyFill="1" applyAlignment="1">
      <alignment horizontal="center" vertical="center"/>
    </xf>
    <xf numFmtId="16" fontId="69"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4"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9" fillId="29" borderId="0" xfId="0" applyNumberFormat="1" applyFont="1" applyFill="1" applyAlignment="1">
      <alignment horizontal="center" vertical="center"/>
    </xf>
    <xf numFmtId="0" fontId="2" fillId="3" borderId="0" xfId="0" applyFont="1" applyFill="1" applyBorder="1"/>
    <xf numFmtId="0" fontId="4" fillId="3" borderId="0" xfId="0" applyFont="1" applyFill="1" applyBorder="1" applyAlignment="1">
      <alignment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73" fillId="0" borderId="0" xfId="0" applyFont="1"/>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16" fillId="0" borderId="0" xfId="0" applyFont="1"/>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Border="1" applyAlignment="1">
      <alignment horizontal="left" vertical="top" wrapText="1"/>
    </xf>
    <xf numFmtId="0" fontId="4" fillId="14" borderId="21" xfId="0" applyFont="1" applyFill="1" applyBorder="1" applyAlignment="1">
      <alignment horizontal="left" vertical="top" wrapText="1"/>
    </xf>
    <xf numFmtId="0" fontId="4" fillId="14" borderId="22" xfId="0" applyFont="1" applyFill="1" applyBorder="1" applyAlignment="1">
      <alignment horizontal="left" vertical="top" wrapText="1"/>
    </xf>
    <xf numFmtId="0" fontId="4" fillId="14" borderId="23" xfId="0" applyFont="1" applyFill="1" applyBorder="1" applyAlignment="1">
      <alignment horizontal="left" vertical="top" wrapText="1"/>
    </xf>
    <xf numFmtId="0" fontId="4" fillId="14" borderId="24" xfId="0" applyFont="1" applyFill="1" applyBorder="1" applyAlignment="1">
      <alignment horizontal="left" vertical="top" wrapText="1"/>
    </xf>
    <xf numFmtId="0" fontId="2" fillId="5" borderId="20" xfId="0" applyFont="1" applyFill="1" applyBorder="1"/>
    <xf numFmtId="0" fontId="2" fillId="0" borderId="0" xfId="0" applyFont="1" applyBorder="1"/>
    <xf numFmtId="0" fontId="2" fillId="0" borderId="0" xfId="0" applyFont="1" applyFill="1" applyBorder="1"/>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vertical="top" wrapText="1"/>
    </xf>
  </cellXfs>
  <cellStyles count="4">
    <cellStyle name="Normal" xfId="0" builtinId="0"/>
    <cellStyle name="Normal 2" xfId="3"/>
    <cellStyle name="Normal 3" xfId="2"/>
    <cellStyle name="Percent" xfId="1" builtinId="5"/>
  </cellStyles>
  <dxfs count="290">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5.9.xlsx]Aux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5"/>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10</c:v>
                </c:pt>
                <c:pt idx="1">
                  <c:v>147</c:v>
                </c:pt>
                <c:pt idx="2">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5.9.xlsx]Aux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5"/>
        <c:spPr>
          <a:solidFill>
            <a:srgbClr val="FF0000"/>
          </a:solidFill>
          <a:ln>
            <a:noFill/>
          </a:ln>
          <a:effectLst/>
        </c:spPr>
      </c:pivotFmt>
      <c:pivotFmt>
        <c:idx val="56"/>
        <c:spPr>
          <a:solidFill>
            <a:schemeClr val="accent6">
              <a:lumMod val="50000"/>
            </a:schemeClr>
          </a:solidFill>
          <a:ln>
            <a:noFill/>
          </a:ln>
          <a:effectLst/>
        </c:spP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22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3">
                  <c:v>3</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1">
                  <c:v>12</c:v>
                </c:pt>
                <c:pt idx="3">
                  <c:v>1</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03B4-4A80-BE52-E8969853371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Pivots2'!$G$89:$G$102</c:f>
              <c:numCache>
                <c:formatCode>General</c:formatCode>
                <c:ptCount val="13"/>
                <c:pt idx="0">
                  <c:v>1</c:v>
                </c:pt>
              </c:numCache>
            </c:numRef>
          </c:val>
          <c:extLst>
            <c:ext xmlns:c16="http://schemas.microsoft.com/office/drawing/2014/chart" uri="{C3380CC4-5D6E-409C-BE32-E72D297353CC}">
              <c16:uniqueId val="{00000004-2721-4535-9A5F-89584DE2DF9B}"/>
            </c:ext>
          </c:extLst>
        </c:ser>
        <c:ser>
          <c:idx val="5"/>
          <c:order val="5"/>
          <c:tx>
            <c:strRef>
              <c:f>'Aux - Pivots2'!$H$87:$H$88</c:f>
              <c:strCache>
                <c:ptCount val="1"/>
                <c:pt idx="0">
                  <c:v>6. Em implementação (re-especificação)</c:v>
                </c:pt>
              </c:strCache>
            </c:strRef>
          </c:tx>
          <c:spPr>
            <a:solidFill>
              <a:schemeClr val="accent6"/>
            </a:solidFill>
            <a:ln>
              <a:noFill/>
            </a:ln>
            <a:effectLst/>
          </c:spPr>
          <c:invertIfNegative val="0"/>
          <c:dPt>
            <c:idx val="3"/>
            <c:invertIfNegative val="0"/>
            <c:bubble3D val="0"/>
            <c:spPr>
              <a:solidFill>
                <a:srgbClr val="FF0000"/>
              </a:solidFill>
              <a:ln>
                <a:noFill/>
              </a:ln>
              <a:effectLst/>
            </c:spPr>
            <c:extLst>
              <c:ext xmlns:c16="http://schemas.microsoft.com/office/drawing/2014/chart" uri="{C3380CC4-5D6E-409C-BE32-E72D297353CC}">
                <c16:uniqueId val="{0000000B-C909-4A70-8E8F-F7121ADE929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Pivots2'!$H$89:$H$102</c:f>
              <c:numCache>
                <c:formatCode>General</c:formatCode>
                <c:ptCount val="13"/>
                <c:pt idx="3">
                  <c:v>6</c:v>
                </c:pt>
              </c:numCache>
            </c:numRef>
          </c:val>
          <c:extLst>
            <c:ext xmlns:c16="http://schemas.microsoft.com/office/drawing/2014/chart" uri="{C3380CC4-5D6E-409C-BE32-E72D297353CC}">
              <c16:uniqueId val="{00000004-C909-4A70-8E8F-F7121ADE92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5.9.xlsx]Aux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dLbl>
          <c:idx val="0"/>
          <c:layout>
            <c:manualLayout>
              <c:x val="1.2464069204442686E-5"/>
              <c:y val="2.2048066912688718E-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3"/>
        <c:spPr>
          <a:solidFill>
            <a:schemeClr val="accent1"/>
          </a:solidFill>
          <a:ln>
            <a:solidFill>
              <a:schemeClr val="bg1"/>
            </a:solidFill>
          </a:ln>
          <a:effectLst/>
        </c:spPr>
        <c:dLbl>
          <c:idx val="0"/>
          <c:layout>
            <c:manualLayout>
              <c:x val="2.843885533980994E-3"/>
              <c:y val="-5.349967349218406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dLbl>
          <c:idx val="0"/>
          <c:layout>
            <c:manualLayout>
              <c:x val="1.2677902416088816E-2"/>
              <c:y val="3.55870016374924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rgbClr val="FF0000"/>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1.2464069204442686E-5"/>
                  <c:y val="2.2048066912688718E-4"/>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dLbl>
              <c:idx val="4"/>
              <c:layout>
                <c:manualLayout>
                  <c:x val="2.843885533980994E-3"/>
                  <c:y val="-5.349967349218406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DD8-496C-AAD9-6B132DEF52B5}"/>
                </c:ext>
              </c:extLst>
            </c:dLbl>
            <c:dLbl>
              <c:idx val="5"/>
              <c:layout>
                <c:manualLayout>
                  <c:x val="1.2677902416088816E-2"/>
                  <c:y val="3.558700163749240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E-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Pivots2'!$B$112:$B$118</c:f>
              <c:strCache>
                <c:ptCount val="6"/>
                <c:pt idx="0">
                  <c:v>0. Cancelado</c:v>
                </c:pt>
                <c:pt idx="1">
                  <c:v>1. Concluído</c:v>
                </c:pt>
                <c:pt idx="2">
                  <c:v>2.1 Em Teste</c:v>
                </c:pt>
                <c:pt idx="3">
                  <c:v>2.2 Em Re-especificação</c:v>
                </c:pt>
                <c:pt idx="4">
                  <c:v>4. Validação EF</c:v>
                </c:pt>
                <c:pt idx="5">
                  <c:v>6. Em implementação (re-especificação)</c:v>
                </c:pt>
              </c:strCache>
            </c:strRef>
          </c:cat>
          <c:val>
            <c:numRef>
              <c:f>'Aux - Pivots2'!$C$112:$C$118</c:f>
              <c:numCache>
                <c:formatCode>General</c:formatCode>
                <c:ptCount val="6"/>
                <c:pt idx="0">
                  <c:v>14</c:v>
                </c:pt>
                <c:pt idx="1">
                  <c:v>204</c:v>
                </c:pt>
                <c:pt idx="2">
                  <c:v>7</c:v>
                </c:pt>
                <c:pt idx="3">
                  <c:v>13</c:v>
                </c:pt>
                <c:pt idx="4">
                  <c:v>1</c:v>
                </c:pt>
                <c:pt idx="5">
                  <c:v>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5.9.xlsx]Aux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rgbClr val="C00000"/>
          </a:solidFill>
          <a:ln>
            <a:noFill/>
          </a:ln>
          <a:effectLst/>
        </c:spPr>
      </c:pivotFmt>
      <c:pivotFmt>
        <c:idx val="44"/>
        <c:spPr>
          <a:solidFill>
            <a:srgbClr val="C00000"/>
          </a:solidFill>
          <a:ln>
            <a:noFill/>
          </a:ln>
          <a:effectLst/>
        </c:spPr>
      </c:pivotFmt>
      <c:pivotFmt>
        <c:idx val="45"/>
        <c:spPr>
          <a:solidFill>
            <a:srgbClr val="C00000"/>
          </a:solidFill>
          <a:ln>
            <a:noFill/>
          </a:ln>
          <a:effectLst/>
        </c:spPr>
      </c:pivotFmt>
      <c:pivotFmt>
        <c:idx val="4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5"/>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5"/>
          </a:solidFill>
          <a:ln>
            <a:noFill/>
          </a:ln>
          <a:effectLst/>
        </c:spPr>
        <c:dLbl>
          <c:idx val="0"/>
          <c:layout>
            <c:manualLayout>
              <c:x val="-1.6666412952243772E-3"/>
              <c:y val="-2.87123873377919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23</c:v>
                </c:pt>
                <c:pt idx="1">
                  <c:v>36</c:v>
                </c:pt>
                <c:pt idx="2">
                  <c:v>23</c:v>
                </c:pt>
                <c:pt idx="3">
                  <c:v>5</c:v>
                </c:pt>
                <c:pt idx="4">
                  <c:v>5</c:v>
                </c:pt>
                <c:pt idx="5">
                  <c:v>3</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pt idx="1">
                  <c:v>7</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0E1-4780-9CEB-66B6DEF286F0}"/>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B7D-4E56-A212-F28BC47DA877}"/>
                </c:ext>
              </c:extLst>
            </c:dLbl>
            <c:dLbl>
              <c:idx val="5"/>
              <c:layout>
                <c:manualLayout>
                  <c:x val="-1.6666412952243772E-3"/>
                  <c:y val="-2.8712387337791966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1</c:v>
                </c:pt>
                <c:pt idx="5">
                  <c:v>1</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5. Em Correção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2">
                  <c:v>1</c:v>
                </c:pt>
              </c:numCache>
            </c:numRef>
          </c:val>
          <c:extLst>
            <c:ext xmlns:c16="http://schemas.microsoft.com/office/drawing/2014/chart" uri="{C3380CC4-5D6E-409C-BE32-E72D297353CC}">
              <c16:uniqueId val="{00000008-3598-4C27-B7D0-8C4AF9A5CBC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5.9.xlsx]Aux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dLbl>
          <c:idx val="0"/>
          <c:layout>
            <c:manualLayout>
              <c:x val="-2.4605239818209737E-2"/>
              <c:y val="-4.50401087488106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9"/>
        <c:spPr>
          <a:solidFill>
            <a:srgbClr val="C00000"/>
          </a:solidFill>
          <a:ln>
            <a:solidFill>
              <a:schemeClr val="bg1"/>
            </a:solidFill>
          </a:ln>
          <a:effectLst/>
        </c:spPr>
        <c:dLbl>
          <c:idx val="0"/>
          <c:layout>
            <c:manualLayout>
              <c:x val="8.201746606069895E-3"/>
              <c:y val="1.8016043499524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0"/>
        <c:spPr>
          <a:solidFill>
            <a:schemeClr val="accent5"/>
          </a:solidFill>
          <a:ln>
            <a:solidFill>
              <a:schemeClr val="bg1"/>
            </a:solidFill>
          </a:ln>
          <a:effectLst/>
        </c:spPr>
        <c:dLbl>
          <c:idx val="0"/>
          <c:layout>
            <c:manualLayout>
              <c:x val="-1.0934585796727568E-2"/>
              <c:y val="-5.452016502412128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1"/>
        <c:spPr>
          <a:solidFill>
            <a:schemeClr val="accent5">
              <a:lumMod val="75000"/>
            </a:schemeClr>
          </a:solidFill>
          <a:ln>
            <a:solidFill>
              <a:schemeClr val="bg1"/>
            </a:solidFill>
          </a:ln>
          <a:effectLst/>
        </c:spPr>
        <c:dLbl>
          <c:idx val="0"/>
          <c:layout>
            <c:manualLayout>
              <c:x val="5.4678310707133139E-3"/>
              <c:y val="-9.00802174976214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6"/>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2.4605239818209737E-2"/>
                  <c:y val="-4.504010874881060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dLbl>
              <c:idx val="2"/>
              <c:layout>
                <c:manualLayout>
                  <c:x val="8.201746606069895E-3"/>
                  <c:y val="1.80160434995242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7D08-4C05-B1C4-CBB96626B528}"/>
                </c:ext>
              </c:extLst>
            </c:dLbl>
            <c:dLbl>
              <c:idx val="3"/>
              <c:layout>
                <c:manualLayout>
                  <c:x val="-1.0934585796727568E-2"/>
                  <c:y val="-5.452016502412128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1EA1-423E-8C13-BDBB41B13F05}"/>
                </c:ext>
              </c:extLst>
            </c:dLbl>
            <c:dLbl>
              <c:idx val="4"/>
              <c:layout>
                <c:manualLayout>
                  <c:x val="5.4678310707133139E-3"/>
                  <c:y val="-9.008021749762141E-3"/>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2C65-439B-923A-BE58796246E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Pivots2'!$B$155:$B$160</c:f>
              <c:strCache>
                <c:ptCount val="5"/>
                <c:pt idx="0">
                  <c:v>1. Concluído</c:v>
                </c:pt>
                <c:pt idx="1">
                  <c:v>2.1 Em Teste</c:v>
                </c:pt>
                <c:pt idx="2">
                  <c:v>5. Em Correção</c:v>
                </c:pt>
                <c:pt idx="3">
                  <c:v>4. Validação EF</c:v>
                </c:pt>
                <c:pt idx="4">
                  <c:v>3. Pendente de outros desenvolvimentos</c:v>
                </c:pt>
              </c:strCache>
            </c:strRef>
          </c:cat>
          <c:val>
            <c:numRef>
              <c:f>'Aux - Pivots2'!$C$155:$C$160</c:f>
              <c:numCache>
                <c:formatCode>General</c:formatCode>
                <c:ptCount val="5"/>
                <c:pt idx="0">
                  <c:v>119</c:v>
                </c:pt>
                <c:pt idx="1">
                  <c:v>3</c:v>
                </c:pt>
                <c:pt idx="2">
                  <c:v>1</c:v>
                </c:pt>
                <c:pt idx="3">
                  <c:v>2</c:v>
                </c:pt>
                <c:pt idx="4">
                  <c:v>10</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5.9.xlsx]Aux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5"/>
          </a:solidFill>
          <a:ln>
            <a:noFill/>
          </a:ln>
          <a:effectLst/>
        </c:spPr>
      </c:pivotFmt>
      <c:pivotFmt>
        <c:idx val="27"/>
        <c:spPr>
          <a:solidFill>
            <a:schemeClr val="accent6"/>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spPr>
              <a:solidFill>
                <a:schemeClr val="accent5"/>
              </a:solidFill>
              <a:ln>
                <a:noFill/>
              </a:ln>
              <a:effectLst/>
            </c:spPr>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5.9.xlsx]Aux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rgbClr val="C00000"/>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solidFill>
              <a:ln w="9525">
                <a:solidFill>
                  <a:schemeClr val="lt1"/>
                </a:solidFill>
              </a:ln>
              <a:effectLst/>
            </c:spPr>
            <c:extLst>
              <c:ext xmlns:c16="http://schemas.microsoft.com/office/drawing/2014/chart" uri="{C3380CC4-5D6E-409C-BE32-E72D297353CC}">
                <c16:uniqueId val="{00000015-C964-46FD-9A46-124C407B2E06}"/>
              </c:ext>
            </c:extLst>
          </c:dPt>
          <c:dPt>
            <c:idx val="7"/>
            <c:bubble3D val="0"/>
            <c:spPr>
              <a:solidFill>
                <a:schemeClr val="accent2">
                  <a:lumMod val="60000"/>
                </a:schemeClr>
              </a:solidFill>
              <a:ln w="9525">
                <a:solidFill>
                  <a:schemeClr val="lt1"/>
                </a:solidFill>
              </a:ln>
              <a:effectLst/>
            </c:spPr>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dLbl>
              <c:idx val="5"/>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8-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Pivots2'!$B$24:$B$32</c:f>
              <c:strCache>
                <c:ptCount val="8"/>
                <c:pt idx="0">
                  <c:v>0. Cancelado</c:v>
                </c:pt>
                <c:pt idx="1">
                  <c:v>1. Concluído</c:v>
                </c:pt>
                <c:pt idx="2">
                  <c:v>2.1 Em Teste</c:v>
                </c:pt>
                <c:pt idx="3">
                  <c:v>3. Pendente de outros desenvolvimentos</c:v>
                </c:pt>
                <c:pt idx="4">
                  <c:v>4. Validação EF</c:v>
                </c:pt>
                <c:pt idx="5">
                  <c:v>5. Em Correção</c:v>
                </c:pt>
                <c:pt idx="6">
                  <c:v>6. Em implementação (re-especificação)</c:v>
                </c:pt>
                <c:pt idx="7">
                  <c:v>2.2 Em Re-especificação</c:v>
                </c:pt>
              </c:strCache>
            </c:strRef>
          </c:cat>
          <c:val>
            <c:numRef>
              <c:f>'Aux - Pivots2'!$C$24:$C$32</c:f>
              <c:numCache>
                <c:formatCode>General</c:formatCode>
                <c:ptCount val="8"/>
                <c:pt idx="0">
                  <c:v>24</c:v>
                </c:pt>
                <c:pt idx="1">
                  <c:v>470</c:v>
                </c:pt>
                <c:pt idx="2">
                  <c:v>10</c:v>
                </c:pt>
                <c:pt idx="3">
                  <c:v>10</c:v>
                </c:pt>
                <c:pt idx="4">
                  <c:v>15</c:v>
                </c:pt>
                <c:pt idx="5">
                  <c:v>1</c:v>
                </c:pt>
                <c:pt idx="6">
                  <c:v>6</c:v>
                </c:pt>
                <c:pt idx="7">
                  <c:v>13</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5.9.xlsx]Aux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147</c:v>
                </c:pt>
                <c:pt idx="1">
                  <c:v>204</c:v>
                </c:pt>
                <c:pt idx="2">
                  <c:v>119</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1">
                  <c:v>7</c:v>
                </c:pt>
                <c:pt idx="2">
                  <c:v>3</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2">
                  <c:v>10</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0">
                  <c:v>12</c:v>
                </c:pt>
                <c:pt idx="1">
                  <c:v>1</c:v>
                </c:pt>
                <c:pt idx="2">
                  <c:v>2</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5. Em Correção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2">
                  <c:v>1</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(re-especificação)</c:v>
                </c:pt>
              </c:strCache>
            </c:strRef>
          </c:tx>
          <c:spPr>
            <a:solidFill>
              <a:schemeClr val="accent1">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Pivots2'!$I$11:$I$14</c:f>
              <c:numCache>
                <c:formatCode>General</c:formatCode>
                <c:ptCount val="3"/>
                <c:pt idx="1">
                  <c:v>6</c:v>
                </c:pt>
              </c:numCache>
            </c:numRef>
          </c:val>
          <c:extLst>
            <c:ext xmlns:c16="http://schemas.microsoft.com/office/drawing/2014/chart" uri="{C3380CC4-5D6E-409C-BE32-E72D297353CC}">
              <c16:uniqueId val="{00000000-AA46-4CAC-98C5-05CB207A9312}"/>
            </c:ext>
          </c:extLst>
        </c:ser>
        <c:ser>
          <c:idx val="7"/>
          <c:order val="7"/>
          <c:tx>
            <c:strRef>
              <c:f>'Aux - Pivots2'!$J$9:$J$10</c:f>
              <c:strCache>
                <c:ptCount val="1"/>
                <c:pt idx="0">
                  <c:v>2.2 Em Re-especificação</c:v>
                </c:pt>
              </c:strCache>
            </c:strRef>
          </c:tx>
          <c:spPr>
            <a:solidFill>
              <a:schemeClr val="accent2">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Pivots2'!$J$11:$J$14</c:f>
              <c:numCache>
                <c:formatCode>General</c:formatCode>
                <c:ptCount val="3"/>
                <c:pt idx="1">
                  <c:v>13</c:v>
                </c:pt>
              </c:numCache>
            </c:numRef>
          </c:val>
          <c:extLst>
            <c:ext xmlns:c16="http://schemas.microsoft.com/office/drawing/2014/chart" uri="{C3380CC4-5D6E-409C-BE32-E72D297353CC}">
              <c16:uniqueId val="{00000000-B77E-42F9-92E1-4AA9F6041660}"/>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60</xdr:row>
      <xdr:rowOff>203200</xdr:rowOff>
    </xdr:from>
    <xdr:to>
      <xdr:col>5</xdr:col>
      <xdr:colOff>989518</xdr:colOff>
      <xdr:row>72</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62</xdr:row>
      <xdr:rowOff>56603</xdr:rowOff>
    </xdr:from>
    <xdr:to>
      <xdr:col>14</xdr:col>
      <xdr:colOff>631909</xdr:colOff>
      <xdr:row>62</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63</xdr:row>
      <xdr:rowOff>58238</xdr:rowOff>
    </xdr:from>
    <xdr:to>
      <xdr:col>14</xdr:col>
      <xdr:colOff>628099</xdr:colOff>
      <xdr:row>63</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66</xdr:row>
      <xdr:rowOff>59332</xdr:rowOff>
    </xdr:from>
    <xdr:to>
      <xdr:col>14</xdr:col>
      <xdr:colOff>628099</xdr:colOff>
      <xdr:row>66</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68</xdr:row>
      <xdr:rowOff>58791</xdr:rowOff>
    </xdr:from>
    <xdr:to>
      <xdr:col>14</xdr:col>
      <xdr:colOff>628099</xdr:colOff>
      <xdr:row>68</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69</xdr:row>
      <xdr:rowOff>58521</xdr:rowOff>
    </xdr:from>
    <xdr:to>
      <xdr:col>14</xdr:col>
      <xdr:colOff>628099</xdr:colOff>
      <xdr:row>69</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87</xdr:row>
      <xdr:rowOff>56941</xdr:rowOff>
    </xdr:from>
    <xdr:to>
      <xdr:col>14</xdr:col>
      <xdr:colOff>624921</xdr:colOff>
      <xdr:row>87</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88</xdr:row>
      <xdr:rowOff>62994</xdr:rowOff>
    </xdr:from>
    <xdr:to>
      <xdr:col>14</xdr:col>
      <xdr:colOff>624921</xdr:colOff>
      <xdr:row>88</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66849</xdr:rowOff>
    </xdr:from>
    <xdr:to>
      <xdr:col>14</xdr:col>
      <xdr:colOff>625339</xdr:colOff>
      <xdr:row>90</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91</xdr:row>
      <xdr:rowOff>61051</xdr:rowOff>
    </xdr:from>
    <xdr:to>
      <xdr:col>14</xdr:col>
      <xdr:colOff>624921</xdr:colOff>
      <xdr:row>91</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92</xdr:row>
      <xdr:rowOff>63293</xdr:rowOff>
    </xdr:from>
    <xdr:to>
      <xdr:col>14</xdr:col>
      <xdr:colOff>624921</xdr:colOff>
      <xdr:row>92</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56346</xdr:rowOff>
    </xdr:from>
    <xdr:to>
      <xdr:col>14</xdr:col>
      <xdr:colOff>621111</xdr:colOff>
      <xdr:row>94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93</xdr:row>
      <xdr:rowOff>63629</xdr:rowOff>
    </xdr:from>
    <xdr:to>
      <xdr:col>14</xdr:col>
      <xdr:colOff>624921</xdr:colOff>
      <xdr:row>93</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121</xdr:row>
      <xdr:rowOff>56604</xdr:rowOff>
    </xdr:from>
    <xdr:to>
      <xdr:col>14</xdr:col>
      <xdr:colOff>624919</xdr:colOff>
      <xdr:row>121</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122</xdr:row>
      <xdr:rowOff>58608</xdr:rowOff>
    </xdr:from>
    <xdr:to>
      <xdr:col>14</xdr:col>
      <xdr:colOff>628729</xdr:colOff>
      <xdr:row>122</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123</xdr:row>
      <xdr:rowOff>54897</xdr:rowOff>
    </xdr:from>
    <xdr:to>
      <xdr:col>14</xdr:col>
      <xdr:colOff>628729</xdr:colOff>
      <xdr:row>123</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125</xdr:row>
      <xdr:rowOff>63989</xdr:rowOff>
    </xdr:from>
    <xdr:to>
      <xdr:col>14</xdr:col>
      <xdr:colOff>625339</xdr:colOff>
      <xdr:row>125</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126</xdr:row>
      <xdr:rowOff>56048</xdr:rowOff>
    </xdr:from>
    <xdr:to>
      <xdr:col>14</xdr:col>
      <xdr:colOff>628729</xdr:colOff>
      <xdr:row>126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127</xdr:row>
      <xdr:rowOff>56146</xdr:rowOff>
    </xdr:from>
    <xdr:to>
      <xdr:col>14</xdr:col>
      <xdr:colOff>628729</xdr:colOff>
      <xdr:row>127</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129</xdr:row>
      <xdr:rowOff>60156</xdr:rowOff>
    </xdr:from>
    <xdr:to>
      <xdr:col>14</xdr:col>
      <xdr:colOff>624919</xdr:colOff>
      <xdr:row>129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128</xdr:row>
      <xdr:rowOff>54340</xdr:rowOff>
    </xdr:from>
    <xdr:to>
      <xdr:col>14</xdr:col>
      <xdr:colOff>628729</xdr:colOff>
      <xdr:row>128</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85</xdr:row>
      <xdr:rowOff>76535</xdr:rowOff>
    </xdr:from>
    <xdr:to>
      <xdr:col>14</xdr:col>
      <xdr:colOff>246753</xdr:colOff>
      <xdr:row>108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84</xdr:row>
      <xdr:rowOff>45017</xdr:rowOff>
    </xdr:from>
    <xdr:to>
      <xdr:col>5</xdr:col>
      <xdr:colOff>956836</xdr:colOff>
      <xdr:row>97</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120</xdr:row>
      <xdr:rowOff>37660</xdr:rowOff>
    </xdr:from>
    <xdr:to>
      <xdr:col>14</xdr:col>
      <xdr:colOff>401732</xdr:colOff>
      <xdr:row>140</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120</xdr:row>
      <xdr:rowOff>46501</xdr:rowOff>
    </xdr:from>
    <xdr:to>
      <xdr:col>6</xdr:col>
      <xdr:colOff>108857</xdr:colOff>
      <xdr:row>132</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149</xdr:row>
      <xdr:rowOff>60414</xdr:rowOff>
    </xdr:from>
    <xdr:to>
      <xdr:col>14</xdr:col>
      <xdr:colOff>621111</xdr:colOff>
      <xdr:row>149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150</xdr:row>
      <xdr:rowOff>57538</xdr:rowOff>
    </xdr:from>
    <xdr:to>
      <xdr:col>14</xdr:col>
      <xdr:colOff>621111</xdr:colOff>
      <xdr:row>150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151</xdr:row>
      <xdr:rowOff>56118</xdr:rowOff>
    </xdr:from>
    <xdr:to>
      <xdr:col>14</xdr:col>
      <xdr:colOff>621111</xdr:colOff>
      <xdr:row>151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152</xdr:row>
      <xdr:rowOff>60189</xdr:rowOff>
    </xdr:from>
    <xdr:to>
      <xdr:col>14</xdr:col>
      <xdr:colOff>632959</xdr:colOff>
      <xdr:row>152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153</xdr:row>
      <xdr:rowOff>74234</xdr:rowOff>
    </xdr:from>
    <xdr:to>
      <xdr:col>14</xdr:col>
      <xdr:colOff>621111</xdr:colOff>
      <xdr:row>153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154</xdr:row>
      <xdr:rowOff>74943</xdr:rowOff>
    </xdr:from>
    <xdr:to>
      <xdr:col>14</xdr:col>
      <xdr:colOff>621111</xdr:colOff>
      <xdr:row>154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156</xdr:row>
      <xdr:rowOff>56346</xdr:rowOff>
    </xdr:from>
    <xdr:to>
      <xdr:col>14</xdr:col>
      <xdr:colOff>621111</xdr:colOff>
      <xdr:row>156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155</xdr:row>
      <xdr:rowOff>92090</xdr:rowOff>
    </xdr:from>
    <xdr:to>
      <xdr:col>14</xdr:col>
      <xdr:colOff>621111</xdr:colOff>
      <xdr:row>155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151</xdr:row>
      <xdr:rowOff>130394</xdr:rowOff>
    </xdr:from>
    <xdr:to>
      <xdr:col>14</xdr:col>
      <xdr:colOff>369793</xdr:colOff>
      <xdr:row>154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147</xdr:row>
      <xdr:rowOff>78081</xdr:rowOff>
    </xdr:from>
    <xdr:to>
      <xdr:col>6</xdr:col>
      <xdr:colOff>327030</xdr:colOff>
      <xdr:row>159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61</xdr:row>
      <xdr:rowOff>85830</xdr:rowOff>
    </xdr:from>
    <xdr:to>
      <xdr:col>14</xdr:col>
      <xdr:colOff>352159</xdr:colOff>
      <xdr:row>72</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65</xdr:row>
      <xdr:rowOff>53887</xdr:rowOff>
    </xdr:from>
    <xdr:to>
      <xdr:col>14</xdr:col>
      <xdr:colOff>628099</xdr:colOff>
      <xdr:row>65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67</xdr:row>
      <xdr:rowOff>62872</xdr:rowOff>
    </xdr:from>
    <xdr:to>
      <xdr:col>14</xdr:col>
      <xdr:colOff>628099</xdr:colOff>
      <xdr:row>67</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89</xdr:row>
      <xdr:rowOff>59522</xdr:rowOff>
    </xdr:from>
    <xdr:to>
      <xdr:col>14</xdr:col>
      <xdr:colOff>634864</xdr:colOff>
      <xdr:row>89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124</xdr:row>
      <xdr:rowOff>56900</xdr:rowOff>
    </xdr:from>
    <xdr:to>
      <xdr:col>14</xdr:col>
      <xdr:colOff>645244</xdr:colOff>
      <xdr:row>124</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10</xdr:col>
      <xdr:colOff>10885</xdr:colOff>
      <xdr:row>39</xdr:row>
      <xdr:rowOff>121557</xdr:rowOff>
    </xdr:to>
    <xdr:sp macro="" textlink="">
      <xdr:nvSpPr>
        <xdr:cNvPr id="65" name="Rectangle 64"/>
        <xdr:cNvSpPr/>
      </xdr:nvSpPr>
      <xdr:spPr>
        <a:xfrm>
          <a:off x="5482771" y="3347357"/>
          <a:ext cx="2801257"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11</xdr:col>
      <xdr:colOff>7256</xdr:colOff>
      <xdr:row>32</xdr:row>
      <xdr:rowOff>212271</xdr:rowOff>
    </xdr:from>
    <xdr:to>
      <xdr:col>13</xdr:col>
      <xdr:colOff>10886</xdr:colOff>
      <xdr:row>39</xdr:row>
      <xdr:rowOff>121557</xdr:rowOff>
    </xdr:to>
    <xdr:sp macro="" textlink="">
      <xdr:nvSpPr>
        <xdr:cNvPr id="61" name="Rectangle 60"/>
        <xdr:cNvSpPr/>
      </xdr:nvSpPr>
      <xdr:spPr>
        <a:xfrm>
          <a:off x="9205685" y="3347357"/>
          <a:ext cx="1919515"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59</xdr:col>
      <xdr:colOff>208187</xdr:colOff>
      <xdr:row>12</xdr:row>
      <xdr:rowOff>19050</xdr:rowOff>
    </xdr:from>
    <xdr:to>
      <xdr:col>59</xdr:col>
      <xdr:colOff>208187</xdr:colOff>
      <xdr:row>252</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5717387" y="1314450"/>
          <a:ext cx="0" cy="11537498"/>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69.466567361109"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69.466575810184"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4">
        <s v="0. Cancelado"/>
        <s v="1. Concluído"/>
        <s v="4. Validação EF"/>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69.46657800926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7">
        <s v="0. Cancelado"/>
        <s v="1. Concluído"/>
        <s v="2.1 Em Teste"/>
        <s v="2.2 Em Re-especificação"/>
        <s v="4. Validação EF"/>
        <s v="6. Em implementação (re-especificação)"/>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69.466579745371"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7">
        <s v="0. Cancelado"/>
        <s v="1. Concluído"/>
        <s v="2.1 Em Teste"/>
        <s v="2.2 Em Re-especificação"/>
        <s v="4. Validação EF"/>
        <s v="6. Em implementação (re-especificação)"/>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69.46658159722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4. Validação EF"/>
        <s v="5. Em Correção"/>
        <s v="0. Cancelado" u="1"/>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69.46658356481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4">
        <s v="0. Cancelado"/>
        <s v="1. Concluído"/>
        <s v="4. Validação EF"/>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69.46658541666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6">
        <s v="1. Concluído"/>
        <s v="2.1 Em Teste"/>
        <s v="3. Pendente de outros desenvolvimentos"/>
        <s v="4. Validação EF"/>
        <s v="5. Em Correção"/>
        <s v="0. Cancelad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69.466596412036" createdVersion="6" refreshedVersion="6" minRefreshableVersion="3" recordCount="568">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unt="2">
        <s v="1. Universo"/>
        <s v="2. Campo"/>
      </sharedItems>
    </cacheField>
    <cacheField name="Tabela" numFmtId="0">
      <sharedItems/>
    </cacheField>
    <cacheField name="Campo" numFmtId="0">
      <sharedItems/>
    </cacheField>
    <cacheField name="Status Atual" numFmtId="0">
      <sharedItems count="8">
        <s v="4. Validação EF"/>
        <s v="1. Concluído"/>
        <s v="0. Cancelado"/>
        <s v="2.1 Em Teste"/>
        <s v="2.2 Em Re-especificação"/>
        <s v="6. Em implementação (re-especificação)"/>
        <s v="3. Pendente de outros desenvolvimentos"/>
        <s v="5. Em Correção"/>
      </sharedItems>
    </cacheField>
    <cacheField name="Status Anterior" numFmtId="0">
      <sharedItems/>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unt="3">
        <s v="Bens Imóveis"/>
        <s v="Modelo Verde"/>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8">
  <r>
    <x v="0"/>
    <s v="Bens Imóveis - Input"/>
    <x v="0"/>
    <s v="ENERGY_CERTIFICATE_EST_INPUT"/>
    <s v="n.a."/>
    <x v="0"/>
    <s v="6. Em implementação (re-especificação)"/>
    <s v="A validar por CDO"/>
    <d v="2024-08-06T00:00:00"/>
    <d v="2024-11-28T00:00:00"/>
    <s v=""/>
    <m/>
    <m/>
    <x v="0"/>
  </r>
  <r>
    <x v="0"/>
    <s v="Bens Imóveis - Input"/>
    <x v="1"/>
    <s v="ENERGY_CERTIFICATE_EST_INPUT"/>
    <s v="PROPERTY_BANK_ID"/>
    <x v="0"/>
    <s v="6. Em implementação (re-especificação)"/>
    <s v="A validar por CDO"/>
    <d v="2024-08-06T00:00:00"/>
    <d v="2024-11-28T00:00:00"/>
    <s v=""/>
    <m/>
    <m/>
    <x v="0"/>
  </r>
  <r>
    <x v="0"/>
    <s v="Bens Imóveis - Input"/>
    <x v="1"/>
    <s v="ENERGY_CERTIFICATE_EST_INPUT"/>
    <s v="ENCRYPTED_KEY"/>
    <x v="0"/>
    <s v="6. Em implementação (re-especificação)"/>
    <s v="A validar por CDO"/>
    <d v="2024-08-06T00:00:00"/>
    <d v="2024-11-28T00:00:00"/>
    <s v=""/>
    <m/>
    <m/>
    <x v="0"/>
  </r>
  <r>
    <x v="0"/>
    <s v="Bens Imóveis - Input"/>
    <x v="1"/>
    <s v="ENERGY_CERTIFICATE_EST_INPUT"/>
    <s v="PROPERTY_BRANCH_CODE"/>
    <x v="0"/>
    <s v="6. Em implementação (re-especificação)"/>
    <s v="A validar por CDO"/>
    <d v="2024-08-06T00:00:00"/>
    <d v="2024-11-28T00:00:00"/>
    <s v=""/>
    <m/>
    <m/>
    <x v="0"/>
  </r>
  <r>
    <x v="0"/>
    <s v="Bens Imóveis - Input"/>
    <x v="1"/>
    <s v="ENERGY_CERTIFICATE_EST_INPUT"/>
    <s v="PROPERTY_CONTRACT_ID"/>
    <x v="0"/>
    <s v="6. Em implementação (re-especificação)"/>
    <s v="A validar por CDO"/>
    <d v="2024-08-06T00:00:00"/>
    <d v="2024-11-28T00:00:00"/>
    <s v=""/>
    <m/>
    <m/>
    <x v="0"/>
  </r>
  <r>
    <x v="0"/>
    <s v="Bens Imóveis - Input"/>
    <x v="1"/>
    <s v="ENERGY_CERTIFICATE_EST_INPUT"/>
    <s v="PROPERTY_REFERENCE_CODE"/>
    <x v="0"/>
    <s v="6. Em implementação (re-especificação)"/>
    <s v="A validar por CDO"/>
    <d v="2024-08-06T00:00:00"/>
    <d v="2024-11-28T00:00:00"/>
    <s v=""/>
    <m/>
    <m/>
    <x v="0"/>
  </r>
  <r>
    <x v="0"/>
    <s v="Bens Imóveis - Input"/>
    <x v="1"/>
    <s v="ENERGY_CERTIFICATE_EST_INPUT"/>
    <s v="DATA_EXTRACTION_DATE"/>
    <x v="0"/>
    <s v="6. Em implementação (re-especificação)"/>
    <s v="A validar por CDO"/>
    <d v="2024-08-06T00:00:00"/>
    <d v="2024-11-28T00:00:00"/>
    <s v=""/>
    <m/>
    <m/>
    <x v="0"/>
  </r>
  <r>
    <x v="0"/>
    <s v="Bens Imóveis - Input"/>
    <x v="1"/>
    <s v="ENERGY_CERTIFICATE_EST_INPUT"/>
    <s v="EPC"/>
    <x v="0"/>
    <s v="6. Em implementação (re-especificação)"/>
    <s v="A validar por CDO"/>
    <d v="2024-08-06T00:00:00"/>
    <d v="2024-11-28T00:00:00"/>
    <s v=""/>
    <m/>
    <m/>
    <x v="0"/>
  </r>
  <r>
    <x v="0"/>
    <s v="Bens Imóveis - Input"/>
    <x v="1"/>
    <s v="ENERGY_CERTIFICATE_EST_INPUT"/>
    <s v="DATA_PROVIDER"/>
    <x v="0"/>
    <s v="6. Em implementação (re-especificação)"/>
    <s v="A validar por CDO"/>
    <d v="2024-08-06T00:00:00"/>
    <d v="2024-11-28T00:00:00"/>
    <s v=""/>
    <m/>
    <m/>
    <x v="0"/>
  </r>
  <r>
    <x v="0"/>
    <s v="Bens Imóveis - Input"/>
    <x v="1"/>
    <s v="ENERGY_CERTIFICATE_EST_INPUT"/>
    <s v="ACTUAL_VALUE_IND"/>
    <x v="0"/>
    <s v="6. Em implementação (re-especificação)"/>
    <s v="A validar por CDO"/>
    <d v="2024-08-06T00:00:00"/>
    <d v="2024-11-28T00:00:00"/>
    <s v=""/>
    <m/>
    <m/>
    <x v="0"/>
  </r>
  <r>
    <x v="0"/>
    <s v="Bens Imóveis - Input"/>
    <x v="1"/>
    <s v="ENERGY_CERTIFICATE_EST_INPUT"/>
    <s v="QUALITY_SCORE"/>
    <x v="0"/>
    <s v="6. Em implementação (re-especificação)"/>
    <s v="A validar por CDO"/>
    <d v="2024-08-06T00:00:00"/>
    <d v="2024-11-28T00:00:00"/>
    <s v=""/>
    <m/>
    <m/>
    <x v="0"/>
  </r>
  <r>
    <x v="0"/>
    <s v="Bens Imóveis - Input"/>
    <x v="1"/>
    <s v="ENERGY_CERTIFICATE_EST_INPUT"/>
    <s v="ENERGY_CONSUMPTION_VALUE_YEAR"/>
    <x v="0"/>
    <s v="6. Em implementação (re-especificação)"/>
    <s v="A validar por CDO"/>
    <d v="2024-08-06T00:00:00"/>
    <d v="2024-11-28T00:00:00"/>
    <s v=""/>
    <m/>
    <m/>
    <x v="0"/>
  </r>
  <r>
    <x v="0"/>
    <s v="Bens Imóveis - Input"/>
    <x v="1"/>
    <s v="ENERGY_CERTIFICATE_EST_INPUT"/>
    <s v="CARBON_EMISSION_VALUE_YEAR"/>
    <x v="0"/>
    <s v="6. Em implementação (re-especificação)"/>
    <s v="A validar por CDO"/>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1"/>
    <s v="2.1 Em Teste"/>
    <m/>
    <s v=""/>
    <s v=""/>
    <d v="2024-12-19T00:00:00"/>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d v="2024-12-13T00:00:00"/>
    <m/>
    <m/>
    <x v="0"/>
  </r>
  <r>
    <x v="0"/>
    <s v="Bens Imóveis - Output"/>
    <x v="1"/>
    <s v="PROPERTY_ENERGY_CERTIFICATE"/>
    <s v="PROPERTY_IDENTIFICATION_CODE"/>
    <x v="1"/>
    <s v="1. Concluído"/>
    <m/>
    <s v=""/>
    <s v=""/>
    <d v="2024-12-13T00:00:00"/>
    <m/>
    <m/>
    <x v="0"/>
  </r>
  <r>
    <x v="0"/>
    <s v="Bens Imóveis - Output"/>
    <x v="1"/>
    <s v="PROPERTY_ENERGY_CERTIFICATE"/>
    <s v="ENERGY_CERTIFICATION_SYSTEM_CODE"/>
    <x v="1"/>
    <s v="1. Concluído"/>
    <m/>
    <s v=""/>
    <s v=""/>
    <d v="2024-12-13T00:00:00"/>
    <m/>
    <m/>
    <x v="0"/>
  </r>
  <r>
    <x v="0"/>
    <s v="Bens Imóveis - Output"/>
    <x v="1"/>
    <s v="PROPERTY_ENERGY_CERTIFICATE"/>
    <s v="EPC_ISSUING_DATE"/>
    <x v="1"/>
    <s v="1. Concluído"/>
    <m/>
    <s v=""/>
    <s v=""/>
    <d v="2024-12-13T00:00:00"/>
    <m/>
    <m/>
    <x v="0"/>
  </r>
  <r>
    <x v="0"/>
    <s v="Bens Imóveis - Output"/>
    <x v="1"/>
    <s v="PROPERTY_ENERGY_CERTIFICATE"/>
    <s v="EPC_EXPIRATION_DATE"/>
    <x v="1"/>
    <s v="1. Concluído"/>
    <m/>
    <s v=""/>
    <s v=""/>
    <d v="2024-12-13T00:00:00"/>
    <m/>
    <m/>
    <x v="0"/>
  </r>
  <r>
    <x v="0"/>
    <s v="Bens Imóveis - Output"/>
    <x v="1"/>
    <s v="PROPERTY_ENERGY_CERTIFICATE"/>
    <s v="EPC"/>
    <x v="1"/>
    <s v="1. Concluíd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d v="2024-12-13T00:00:00"/>
    <m/>
    <m/>
    <x v="0"/>
  </r>
  <r>
    <x v="0"/>
    <s v="Bens Imóveis - Output"/>
    <x v="1"/>
    <s v="PROPERTY_ENERGY_CERTIFICATE"/>
    <s v="REN_ENERGY_EFFICIENCY_IND"/>
    <x v="1"/>
    <s v="1. Concluído"/>
    <m/>
    <s v=""/>
    <s v=""/>
    <s v=""/>
    <m/>
    <m/>
    <x v="0"/>
  </r>
  <r>
    <x v="0"/>
    <s v="Bens Imóveis - Output"/>
    <x v="1"/>
    <s v="PROPERTY_ENERGY_CERTIFICATE"/>
    <s v="NZEB_IND"/>
    <x v="1"/>
    <s v="1. Concluído"/>
    <m/>
    <s v=""/>
    <s v=""/>
    <d v="2024-12-13T00:00:00"/>
    <m/>
    <m/>
    <x v="0"/>
  </r>
  <r>
    <x v="0"/>
    <s v="Bens Imóveis - Output"/>
    <x v="1"/>
    <s v="PROPERTY_ENERGY_CERTIFICATE"/>
    <s v="ACTUAL_VALUE_IND"/>
    <x v="1"/>
    <s v="1. Concluído"/>
    <m/>
    <s v=""/>
    <s v=""/>
    <d v="2024-12-13T00:00:00"/>
    <m/>
    <m/>
    <x v="0"/>
  </r>
  <r>
    <x v="0"/>
    <s v="Bens Imóveis - Output"/>
    <x v="1"/>
    <s v="PROPERTY_ENERGY_CERTIFICATE"/>
    <s v="EP_SCORE"/>
    <x v="1"/>
    <s v="1. Concluído"/>
    <m/>
    <s v=""/>
    <s v=""/>
    <s v=""/>
    <m/>
    <m/>
    <x v="0"/>
  </r>
  <r>
    <x v="0"/>
    <s v="Bens Imóveis - Output"/>
    <x v="1"/>
    <s v="PROPERTY_ENERGY_CERTIFICATE"/>
    <s v="SOURCE_CODE"/>
    <x v="1"/>
    <s v="1. Concluído"/>
    <m/>
    <s v=""/>
    <s v=""/>
    <d v="2024-12-13T00:00:00"/>
    <m/>
    <m/>
    <x v="0"/>
  </r>
  <r>
    <x v="0"/>
    <s v="Bens Imóveis - Output"/>
    <x v="1"/>
    <s v="PROPERTY_ENERGY_CERTIFICATE"/>
    <s v="DATA_DATE_PART"/>
    <x v="1"/>
    <s v="1. Concluído"/>
    <m/>
    <s v=""/>
    <s v=""/>
    <s v=""/>
    <m/>
    <m/>
    <x v="0"/>
  </r>
  <r>
    <x v="0"/>
    <s v="Bens Imóveis - Output"/>
    <x v="1"/>
    <s v="PROPERTY_ENERGY_CERTIFICATE"/>
    <s v="CERTIFICATE_TYPE"/>
    <x v="1"/>
    <s v="1. Concluíd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1"/>
    <s v="1. Concluíd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1"/>
    <s v="1. Concluíd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d v="2024-12-13T00:00:00"/>
    <m/>
    <m/>
    <x v="0"/>
  </r>
  <r>
    <x v="0"/>
    <s v="Bens Imóveis - Output"/>
    <x v="1"/>
    <s v="PROPERTY_ENERGY_CERTIFICATE"/>
    <s v="CADASTRAL_REGISTER_CODE"/>
    <x v="1"/>
    <s v="1. Concluído"/>
    <m/>
    <s v=""/>
    <s v=""/>
    <d v="2024-12-13T00:00:00"/>
    <m/>
    <m/>
    <x v="0"/>
  </r>
  <r>
    <x v="0"/>
    <s v="Bens Imóveis - Output"/>
    <x v="1"/>
    <s v="PROPERTY_ENERGY_CERTIFICATE"/>
    <s v="DISTRICT_MUNICIP_PARISH_CODE"/>
    <x v="1"/>
    <s v="1. Concluído"/>
    <m/>
    <s v=""/>
    <s v=""/>
    <d v="2024-12-13T00:00:00"/>
    <m/>
    <m/>
    <x v="0"/>
  </r>
  <r>
    <x v="0"/>
    <s v="Bens Imóveis - Output"/>
    <x v="1"/>
    <s v="PROPERTY_ENERGY_CERTIFICATE"/>
    <s v="PROPERTY_PURPOSE_CODE"/>
    <x v="1"/>
    <s v="1. Concluído"/>
    <m/>
    <s v=""/>
    <s v=""/>
    <d v="2024-12-13T00:00:00"/>
    <m/>
    <m/>
    <x v="0"/>
  </r>
  <r>
    <x v="0"/>
    <s v="Bens Imóveis - Output"/>
    <x v="1"/>
    <s v="PROPERTY_ENERGY_CERTIFICATE"/>
    <s v="ADDRESS_CODE"/>
    <x v="1"/>
    <s v="1. Concluído"/>
    <m/>
    <s v=""/>
    <s v=""/>
    <d v="2024-12-13T00:00:00"/>
    <m/>
    <m/>
    <x v="0"/>
  </r>
  <r>
    <x v="0"/>
    <s v="Bens Imóveis - Output"/>
    <x v="1"/>
    <s v="PROPERTY_ENERGY_CERTIFICATE"/>
    <s v="FLOOR_NUMBER"/>
    <x v="1"/>
    <s v="1. Concluído"/>
    <m/>
    <s v=""/>
    <s v=""/>
    <d v="2024-12-13T00:00:00"/>
    <m/>
    <m/>
    <x v="0"/>
  </r>
  <r>
    <x v="0"/>
    <s v="Bens Imóveis - Output"/>
    <x v="1"/>
    <s v="PROPERTY_ENERGY_CERTIFICATE"/>
    <s v="LOCALITY"/>
    <x v="1"/>
    <s v="1. Concluído"/>
    <m/>
    <s v=""/>
    <s v=""/>
    <d v="2024-12-13T00:00:00"/>
    <m/>
    <m/>
    <x v="0"/>
  </r>
  <r>
    <x v="0"/>
    <s v="Bens Imóveis - Output"/>
    <x v="1"/>
    <s v="PROPERTY_ENERGY_CERTIFICATE"/>
    <s v="CLIMATE_ZONE_SUMMER"/>
    <x v="1"/>
    <s v="1. Concluído"/>
    <m/>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0"/>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3"/>
    <s v="2.1 Em Teste"/>
    <s v="Re-especificação "/>
    <d v="2024-10-04T00:00:00"/>
    <d v="2024-11-25T00:00:00"/>
    <d v="2024-12-05T00:00:00"/>
    <m/>
    <m/>
    <x v="1"/>
  </r>
  <r>
    <x v="0"/>
    <s v="Modelo Verde - Output"/>
    <x v="1"/>
    <s v="modesg_out_bens_imoveis"/>
    <s v="flg_rsc_fsc_crnc"/>
    <x v="3"/>
    <s v="2.1 Em Teste"/>
    <s v="Re-especificação "/>
    <d v="2024-10-04T00:00:00"/>
    <d v="2024-11-25T00:00:00"/>
    <d v="2024-12-05T00:00:00"/>
    <m/>
    <m/>
    <x v="1"/>
  </r>
  <r>
    <x v="0"/>
    <s v="Modelo Verde - Output"/>
    <x v="1"/>
    <s v="modesg_out_bens_imoveis"/>
    <s v="origem_flg_rsc_fsc_agd"/>
    <x v="3"/>
    <s v="2.1 Em Teste"/>
    <s v="Re-especificação "/>
    <d v="2024-10-04T00:00:00"/>
    <d v="2024-11-25T00:00:00"/>
    <d v="2024-12-05T00:00:00"/>
    <m/>
    <m/>
    <x v="1"/>
  </r>
  <r>
    <x v="0"/>
    <s v="Modelo Verde - Output"/>
    <x v="1"/>
    <s v="modesg_out_bens_imoveis"/>
    <s v="origem_flg_rsc_fsc_crnc"/>
    <x v="3"/>
    <s v="2.1 Em Teste"/>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1. Concluído"/>
    <s v="Re-especificação "/>
    <d v="2024-09-26T00:00:00"/>
    <d v="2024-11-18T00:00:00"/>
    <d v="2024-11-19T00:00:00"/>
    <m/>
    <m/>
    <x v="1"/>
  </r>
  <r>
    <x v="0"/>
    <s v="Modelo Verde - Output"/>
    <x v="1"/>
    <s v="modesg_out_empr_info_nfin"/>
    <s v="cca_capex_own_prfrmnce_algnd"/>
    <x v="1"/>
    <s v="1. Concluído"/>
    <s v="Re-especificação "/>
    <d v="2024-09-26T00:00:00"/>
    <d v="2024-11-18T00:00:00"/>
    <d v="2024-11-19T00:00:00"/>
    <m/>
    <m/>
    <x v="1"/>
  </r>
  <r>
    <x v="0"/>
    <s v="Modelo Verde - Output"/>
    <x v="1"/>
    <s v="modesg_out_empr_info_nfin"/>
    <s v="cca_capex_ttl_elgbl"/>
    <x v="1"/>
    <s v="1. Concluído"/>
    <s v="Re-especificação "/>
    <d v="2024-09-26T00:00:00"/>
    <d v="2024-11-18T00:00:00"/>
    <d v="2024-11-19T00:00:00"/>
    <m/>
    <m/>
    <x v="1"/>
  </r>
  <r>
    <x v="0"/>
    <s v="Modelo Verde - Output"/>
    <x v="1"/>
    <s v="modesg_out_empr_info_nfin"/>
    <s v="cca_trnvr_enblng_alignd"/>
    <x v="1"/>
    <s v="1. Concluído"/>
    <s v="Re-especificação "/>
    <d v="2024-09-26T00:00:00"/>
    <d v="2024-11-18T00:00:00"/>
    <d v="2024-11-19T00:00:00"/>
    <m/>
    <m/>
    <x v="1"/>
  </r>
  <r>
    <x v="0"/>
    <s v="Modelo Verde - Output"/>
    <x v="1"/>
    <s v="modesg_out_empr_info_nfin"/>
    <s v="cca_trnvr_ttl_elgbl"/>
    <x v="1"/>
    <s v="1. Concluído"/>
    <s v="Re-especificação "/>
    <d v="2024-09-26T00:00:00"/>
    <d v="2024-11-18T00:00:00"/>
    <d v="2024-11-19T00:00:00"/>
    <m/>
    <m/>
    <x v="1"/>
  </r>
  <r>
    <x v="0"/>
    <s v="Modelo Verde - Output"/>
    <x v="1"/>
    <s v="modesg_out_empr_info_nfin"/>
    <s v="cca_turnover_own_prfrmnce_algnd"/>
    <x v="1"/>
    <s v="1. Concluído"/>
    <s v="Re-especificação "/>
    <d v="2024-09-26T00:00:00"/>
    <d v="2024-11-18T00:00:00"/>
    <d v="2024-11-19T00:00:00"/>
    <m/>
    <m/>
    <x v="1"/>
  </r>
  <r>
    <x v="0"/>
    <s v="Modelo Verde - Output"/>
    <x v="1"/>
    <s v="modesg_out_empr_info_nfin"/>
    <s v="ccm_capex_enblng_algnd"/>
    <x v="1"/>
    <s v="1. Concluído"/>
    <s v="Re-especificação "/>
    <d v="2024-09-26T00:00:00"/>
    <d v="2024-11-18T00:00:00"/>
    <d v="2024-11-19T00:00:00"/>
    <m/>
    <m/>
    <x v="1"/>
  </r>
  <r>
    <x v="0"/>
    <s v="Modelo Verde - Output"/>
    <x v="1"/>
    <s v="modesg_out_empr_info_nfin"/>
    <s v="ccm_capex_own_prfrmnce_algnd"/>
    <x v="1"/>
    <s v="1. Concluído"/>
    <s v="Re-especificação "/>
    <d v="2024-09-26T00:00:00"/>
    <d v="2024-11-18T00:00:00"/>
    <d v="2024-11-19T00:00:00"/>
    <m/>
    <m/>
    <x v="1"/>
  </r>
  <r>
    <x v="0"/>
    <s v="Modelo Verde - Output"/>
    <x v="1"/>
    <s v="modesg_out_empr_info_nfin"/>
    <s v="ccm_capex_trnstn_algnd"/>
    <x v="1"/>
    <s v="1. Concluído"/>
    <s v="Re-especificação "/>
    <d v="2024-09-26T00:00:00"/>
    <d v="2024-11-18T00:00:00"/>
    <d v="2024-11-19T00:00:00"/>
    <m/>
    <m/>
    <x v="1"/>
  </r>
  <r>
    <x v="0"/>
    <s v="Modelo Verde - Output"/>
    <x v="1"/>
    <s v="modesg_out_empr_info_nfin"/>
    <s v="ccm_capex_ttl_elgbl"/>
    <x v="1"/>
    <s v="1. Concluído"/>
    <s v="Re-especificação "/>
    <d v="2024-09-26T00:00:00"/>
    <d v="2024-11-18T00:00:00"/>
    <d v="2024-11-19T00:00:00"/>
    <m/>
    <m/>
    <x v="1"/>
  </r>
  <r>
    <x v="0"/>
    <s v="Modelo Verde - Output"/>
    <x v="1"/>
    <s v="modesg_out_empr_info_nfin"/>
    <s v="ccm_trnvr_enblng_algnd"/>
    <x v="1"/>
    <s v="1. Concluído"/>
    <s v="Re-especificação "/>
    <d v="2024-09-26T00:00:00"/>
    <d v="2024-11-18T00:00:00"/>
    <d v="2024-11-19T00:00:00"/>
    <m/>
    <m/>
    <x v="1"/>
  </r>
  <r>
    <x v="0"/>
    <s v="Modelo Verde - Output"/>
    <x v="1"/>
    <s v="modesg_out_empr_info_nfin"/>
    <s v="ccm_trnvr_own_prfrmnce_algnd"/>
    <x v="1"/>
    <s v="1. Concluído"/>
    <s v="Re-especificação "/>
    <d v="2024-09-26T00:00:00"/>
    <d v="2024-11-18T00:00:00"/>
    <d v="2024-11-19T00:00:00"/>
    <m/>
    <m/>
    <x v="1"/>
  </r>
  <r>
    <x v="0"/>
    <s v="Modelo Verde - Output"/>
    <x v="1"/>
    <s v="modesg_out_empr_info_nfin"/>
    <s v="ccm_trnvr_trnstn_alignd"/>
    <x v="1"/>
    <s v="1. Concluído"/>
    <s v="Re-especificação "/>
    <d v="2024-09-26T00:00:00"/>
    <d v="2024-11-18T00:00:00"/>
    <d v="2024-11-19T00:00:00"/>
    <m/>
    <m/>
    <x v="1"/>
  </r>
  <r>
    <x v="0"/>
    <s v="Modelo Verde - Output"/>
    <x v="1"/>
    <s v="modesg_out_empr_info_nfin"/>
    <s v="ccm_trnvr_ttl_elgbl"/>
    <x v="1"/>
    <s v="1. Concluído"/>
    <s v="Re-especificação "/>
    <d v="2024-09-26T00:00:00"/>
    <d v="2024-11-18T00:00:00"/>
    <d v="2024-11-19T00:00:00"/>
    <m/>
    <m/>
    <x v="1"/>
  </r>
  <r>
    <x v="0"/>
    <s v="Modelo Verde - Output"/>
    <x v="1"/>
    <s v="modesg_out_empr_info_nfin"/>
    <s v="cod_nace_esg"/>
    <x v="4"/>
    <s v="1. Concluído"/>
    <s v="Re-especificação "/>
    <d v="2024-09-26T00:00:00"/>
    <d v="2024-11-18T00:00:00"/>
    <d v="2024-11-19T00:00:00"/>
    <m/>
    <m/>
    <x v="1"/>
  </r>
  <r>
    <x v="0"/>
    <s v="Modelo Verde - Output"/>
    <x v="1"/>
    <s v="modesg_out_empr_info_nfin"/>
    <s v="flg_emprs_excl_paris"/>
    <x v="3"/>
    <s v="6. Em implementação (re-especificação)"/>
    <s v="Re-especificação "/>
    <d v="2024-09-18T00:00:00"/>
    <d v="2024-11-18T00:00:00"/>
    <d v="2024-11-19T00:00:00"/>
    <m/>
    <m/>
    <x v="1"/>
  </r>
  <r>
    <x v="0"/>
    <s v="Modelo Verde - Output"/>
    <x v="1"/>
    <s v="modesg_out_empr_info_nfin"/>
    <s v="flg_nfrd"/>
    <x v="3"/>
    <s v="6. Em implementação (re-especificação)"/>
    <s v="Re-especificação "/>
    <d v="2024-09-18T00:00:00"/>
    <d v="2024-11-18T00:00:00"/>
    <d v="2024-11-19T00:00:00"/>
    <m/>
    <m/>
    <x v="1"/>
  </r>
  <r>
    <x v="0"/>
    <s v="Modelo Verde - Output"/>
    <x v="1"/>
    <s v="modesg_out_empr_info_nfin"/>
    <s v="flg_rsc_fsc_agd"/>
    <x v="1"/>
    <s v="1. Concluído"/>
    <s v="Re-especificação "/>
    <d v="2024-10-04T00:00:00"/>
    <d v="2024-11-28T00:00:00"/>
    <d v="2024-12-13T00:00:00"/>
    <m/>
    <m/>
    <x v="1"/>
  </r>
  <r>
    <x v="0"/>
    <s v="Modelo Verde - Output"/>
    <x v="1"/>
    <s v="modesg_out_empr_info_nfin"/>
    <s v="flg_rsc_fsc_crnc"/>
    <x v="1"/>
    <s v="1. Concluído"/>
    <s v="Re-especificação "/>
    <d v="2024-10-04T00:00:00"/>
    <d v="2024-11-28T00:00:00"/>
    <d v="2024-12-13T00:00:00"/>
    <m/>
    <m/>
    <x v="1"/>
  </r>
  <r>
    <x v="0"/>
    <s v="Modelo Verde - Output"/>
    <x v="1"/>
    <s v="modesg_out_empr_info_nfin"/>
    <s v="origem_alinhamentos"/>
    <x v="1"/>
    <s v="6. Em implementação (re-especificação)"/>
    <s v="Re-especificação "/>
    <d v="2024-10-04T00:00:00"/>
    <d v="2024-11-18T00:00:00"/>
    <d v="2024-11-19T00:00:00"/>
    <m/>
    <m/>
    <x v="1"/>
  </r>
  <r>
    <x v="0"/>
    <s v="Modelo Verde - Output"/>
    <x v="1"/>
    <s v="modesg_out_empr_info_nfin"/>
    <s v="origem_flg_emprs_excl_paris"/>
    <x v="3"/>
    <s v="6. Em implementação (re-especificação)"/>
    <s v="Re-especificação "/>
    <d v="2024-09-18T00:00:00"/>
    <d v="2024-11-18T00:00:00"/>
    <d v="2024-11-19T00:00:00"/>
    <m/>
    <m/>
    <x v="1"/>
  </r>
  <r>
    <x v="0"/>
    <s v="Modelo Verde - Output"/>
    <x v="1"/>
    <s v="modesg_out_empr_info_nfin"/>
    <s v="origem_flg_nfrd"/>
    <x v="1"/>
    <s v="6. Em implementação (re-especificação)"/>
    <s v="Re-especificação "/>
    <d v="2024-09-18T00:00:00"/>
    <d v="2024-11-18T00:00:00"/>
    <d v="2024-11-19T00:00:00"/>
    <m/>
    <m/>
    <x v="1"/>
  </r>
  <r>
    <x v="0"/>
    <s v="Modelo Verde - Output"/>
    <x v="1"/>
    <s v="modesg_out_empr_info_nfin"/>
    <s v="origem_flg_rsc_fsc_agd"/>
    <x v="1"/>
    <s v="1. Concluído"/>
    <s v="Re-especificação "/>
    <d v="2024-10-04T00:00:00"/>
    <d v="2024-11-28T00:00:00"/>
    <d v="2024-12-13T00:00:00"/>
    <m/>
    <m/>
    <x v="1"/>
  </r>
  <r>
    <x v="0"/>
    <s v="Modelo Verde - Output"/>
    <x v="1"/>
    <s v="modesg_out_empr_info_nfin"/>
    <s v="origem_flg_rsc_fsc_crnc"/>
    <x v="1"/>
    <s v="1. Concluído"/>
    <s v="Re-especificação "/>
    <d v="2024-10-04T00:00:00"/>
    <d v="2024-11-28T00:00:00"/>
    <d v="2024-12-13T00:00:00"/>
    <m/>
    <m/>
    <x v="1"/>
  </r>
  <r>
    <x v="0"/>
    <s v="Modelo Verde - Output"/>
    <x v="1"/>
    <s v="modesg_out_empr_info_nfin"/>
    <s v="origem_scp1_emss"/>
    <x v="5"/>
    <s v="1. Concluído"/>
    <s v="A concluir re-especificação"/>
    <d v="2024-10-04T00:00:00"/>
    <d v="2024-11-25T00:00:00"/>
    <d v="2024-11-26T00:00:00"/>
    <m/>
    <m/>
    <x v="1"/>
  </r>
  <r>
    <x v="0"/>
    <s v="Modelo Verde - Output"/>
    <x v="1"/>
    <s v="modesg_out_empr_info_nfin"/>
    <s v="origem_scp2_emss"/>
    <x v="5"/>
    <s v="1. Concluído"/>
    <s v="A concluir re-especificação"/>
    <d v="2024-10-04T00:00:00"/>
    <d v="2024-11-25T00:00:00"/>
    <d v="2024-11-26T00:00:00"/>
    <m/>
    <m/>
    <x v="1"/>
  </r>
  <r>
    <x v="0"/>
    <s v="Modelo Verde - Output"/>
    <x v="1"/>
    <s v="modesg_out_empr_info_nfin"/>
    <s v="origem_scp3_emss"/>
    <x v="5"/>
    <s v="1. Concluído"/>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5"/>
    <s v="1. Concluído"/>
    <s v="A concluir re-especificação"/>
    <d v="2024-10-04T00:00:00"/>
    <d v="2024-11-25T00:00:00"/>
    <d v="2024-11-26T00:00:00"/>
    <m/>
    <m/>
    <x v="1"/>
  </r>
  <r>
    <x v="0"/>
    <s v="Modelo Verde - Output"/>
    <x v="1"/>
    <s v="modesg_out_empr_info_nfin"/>
    <s v="scp2_emss"/>
    <x v="5"/>
    <s v="1. Concluído"/>
    <s v="A concluir re-especificação"/>
    <d v="2024-10-04T00:00:00"/>
    <d v="2024-11-25T00:00:00"/>
    <d v="2024-11-26T00:00:00"/>
    <m/>
    <m/>
    <x v="1"/>
  </r>
  <r>
    <x v="0"/>
    <s v="Modelo Verde - Output"/>
    <x v="1"/>
    <s v="modesg_out_empr_info_nfin"/>
    <s v="scp3_emss"/>
    <x v="5"/>
    <s v="1. Concluído"/>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4"/>
    <s v="2.1 Em Teste"/>
    <s v="Re-especificação "/>
    <d v="2024-09-28T00:00:00"/>
    <d v="2024-11-28T00:00:00"/>
    <d v="2024-12-03T00:00:00"/>
    <m/>
    <m/>
    <x v="1"/>
  </r>
  <r>
    <x v="0"/>
    <s v="Modelo Verde - Output"/>
    <x v="1"/>
    <s v="modesg_out_sfcs_taxon_europeia"/>
    <s v="cbalcao"/>
    <x v="4"/>
    <s v="2.1 Em Teste"/>
    <s v="Re-especificação "/>
    <d v="2024-09-28T00:00:00"/>
    <d v="2024-11-28T00:00:00"/>
    <d v="2024-12-03T00:00:00"/>
    <m/>
    <m/>
    <x v="1"/>
  </r>
  <r>
    <x v="0"/>
    <s v="Modelo Verde - Output"/>
    <x v="1"/>
    <s v="modesg_out_sfcs_taxon_europeia"/>
    <s v="cempresa"/>
    <x v="4"/>
    <s v="2.1 Em Teste"/>
    <s v="Re-especificação "/>
    <d v="2024-09-28T00:00:00"/>
    <d v="2024-11-28T00:00:00"/>
    <d v="2024-12-03T00:00:00"/>
    <m/>
    <m/>
    <x v="1"/>
  </r>
  <r>
    <x v="0"/>
    <s v="Modelo Verde - Output"/>
    <x v="1"/>
    <s v="modesg_out_sfcs_taxon_europeia"/>
    <s v="cnumecta"/>
    <x v="4"/>
    <s v="2.1 Em Teste"/>
    <s v="Re-especificação "/>
    <d v="2024-09-28T00:00:00"/>
    <d v="2024-11-28T00:00:00"/>
    <d v="2024-12-03T00:00:00"/>
    <m/>
    <m/>
    <x v="1"/>
  </r>
  <r>
    <x v="0"/>
    <s v="Modelo Verde - Output"/>
    <x v="1"/>
    <s v="modesg_out_sfcs_taxon_europeia"/>
    <s v="cod_regra"/>
    <x v="4"/>
    <s v="2.1 Em Teste"/>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4"/>
    <s v="2.1 Em Teste"/>
    <s v="Re-especificação "/>
    <d v="2024-09-28T00:00:00"/>
    <d v="2024-11-28T00:00:00"/>
    <d v="2024-12-03T00:00:00"/>
    <m/>
    <m/>
    <x v="1"/>
  </r>
  <r>
    <x v="0"/>
    <s v="Modelo Verde - Output"/>
    <x v="1"/>
    <s v="modesg_out_sfcs_taxon_europeia"/>
    <s v="nome_ctgr_sfcs"/>
    <x v="4"/>
    <s v="2.1 Em Teste"/>
    <s v="Re-especificação "/>
    <d v="2024-09-27T00:00:00"/>
    <d v="2024-11-28T00:00:00"/>
    <d v="2024-12-03T00:00:00"/>
    <m/>
    <m/>
    <x v="1"/>
  </r>
  <r>
    <x v="0"/>
    <s v="Modelo Verde - Output"/>
    <x v="1"/>
    <s v="modesg_out_sfcs_taxon_europeia"/>
    <s v="nome_general_specific_purpose"/>
    <x v="4"/>
    <s v="2.1 Em Teste"/>
    <s v="Re-especificação "/>
    <d v="2024-09-28T00:00:00"/>
    <d v="2024-11-28T00:00:00"/>
    <d v="2024-12-03T00:00:00"/>
    <m/>
    <m/>
    <x v="1"/>
  </r>
  <r>
    <x v="0"/>
    <s v="Modelo Verde - Output"/>
    <x v="1"/>
    <s v="modesg_out_sfcs_taxon_europeia"/>
    <s v="nome_purpose_esg"/>
    <x v="4"/>
    <s v="2.1 Em Teste"/>
    <s v="Re-especificação "/>
    <d v="2024-09-28T00:00:00"/>
    <d v="2024-11-28T00:00:00"/>
    <d v="2024-12-03T00:00:00"/>
    <m/>
    <m/>
    <x v="1"/>
  </r>
  <r>
    <x v="0"/>
    <s v="Modelo Verde - Output"/>
    <x v="1"/>
    <s v="modesg_out_sfcs_taxon_europeia"/>
    <s v="nome_specific_eligible"/>
    <x v="4"/>
    <s v="2.1 Em Teste"/>
    <s v="Re-especificação "/>
    <d v="2024-09-28T00:00:00"/>
    <d v="2024-11-28T00:00:00"/>
    <d v="2024-12-03T00:00:00"/>
    <m/>
    <m/>
    <x v="1"/>
  </r>
  <r>
    <x v="0"/>
    <s v="Modelo Verde - Output"/>
    <x v="1"/>
    <s v="modesg_out_sfcs_taxon_europeia"/>
    <s v="nome_specific_sustainable"/>
    <x v="4"/>
    <s v="2.1 Em Teste"/>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4"/>
    <s v="2.1 Em Teste"/>
    <s v="Re-especificação "/>
    <d v="2024-09-26T00:00:00"/>
    <d v="2024-11-28T00:00:00"/>
    <d v="2024-12-03T00:00:00"/>
    <m/>
    <m/>
    <x v="1"/>
  </r>
  <r>
    <x v="0"/>
    <s v="Modelo Verde - Output"/>
    <x v="1"/>
    <s v="modesg_out_sfcs_taxon_europeia"/>
    <s v="zdeposit"/>
    <x v="4"/>
    <s v="2.1 Em Teste"/>
    <s v="Re-especificação "/>
    <d v="2024-09-26T00:00:00"/>
    <d v="2024-11-28T00:00:00"/>
    <d v="2024-12-03T00:00:00"/>
    <m/>
    <m/>
    <x v="1"/>
  </r>
  <r>
    <x v="0"/>
    <s v="Pilar III"/>
    <x v="1"/>
    <s v="lt003_entity"/>
    <s v="nace_esg"/>
    <x v="6"/>
    <s v="1. Concluído"/>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6"/>
    <s v="1. Concluído"/>
    <m/>
    <s v=""/>
    <d v="2024-11-25T00:00:00"/>
    <d v="2024-10-31T00:00:00"/>
    <m/>
    <m/>
    <x v="2"/>
  </r>
  <r>
    <x v="0"/>
    <s v="Pilar III"/>
    <x v="1"/>
    <s v="lt003_entity"/>
    <s v="cntrprty_emssns_scp2"/>
    <x v="6"/>
    <s v="1. Concluído"/>
    <m/>
    <s v=""/>
    <d v="2024-11-25T00:00:00"/>
    <d v="2024-10-31T00:00:00"/>
    <m/>
    <m/>
    <x v="2"/>
  </r>
  <r>
    <x v="0"/>
    <s v="Pilar III"/>
    <x v="1"/>
    <s v="lt003_entity"/>
    <s v="cntrprty_emssns_scp3"/>
    <x v="6"/>
    <s v="1. Concluído"/>
    <m/>
    <s v=""/>
    <d v="2024-11-25T00:00:00"/>
    <d v="2024-10-31T00:00:00"/>
    <m/>
    <m/>
    <x v="2"/>
  </r>
  <r>
    <x v="0"/>
    <s v="Pilar III"/>
    <x v="1"/>
    <s v="lt003_entity"/>
    <s v="flg_excldd_eu_prs_algnd_bnchmrk"/>
    <x v="1"/>
    <s v="1. Concluído"/>
    <m/>
    <s v=""/>
    <d v="2024-11-18T00:00:00"/>
    <d v="2024-10-31T00:00:00"/>
    <m/>
    <m/>
    <x v="2"/>
  </r>
  <r>
    <x v="0"/>
    <s v="Pilar III"/>
    <x v="1"/>
    <s v="lt003_entity"/>
    <s v="flg_act_physcl_rsk"/>
    <x v="1"/>
    <s v="1. Concluído"/>
    <m/>
    <d v="2024-10-24T00:00:00"/>
    <s v=""/>
    <d v="2024-10-31T00:00:00"/>
    <m/>
    <m/>
    <x v="2"/>
  </r>
  <r>
    <x v="0"/>
    <s v="Pilar III"/>
    <x v="1"/>
    <s v="lt003_entity"/>
    <s v="flg_chrnc_physcl_rsk"/>
    <x v="1"/>
    <s v="1. Concluído"/>
    <m/>
    <d v="2024-10-24T00:00:00"/>
    <s v=""/>
    <d v="2024-10-31T00:00:00"/>
    <m/>
    <m/>
    <x v="2"/>
  </r>
  <r>
    <x v="0"/>
    <s v="Pilar III"/>
    <x v="1"/>
    <s v="lt003_entity"/>
    <s v="pst_cd"/>
    <x v="1"/>
    <s v="1. Concluído"/>
    <m/>
    <d v="2024-10-24T00:00:00"/>
    <d v="2024-10-31T00:00:00"/>
    <d v="2024-10-31T00:00:00"/>
    <m/>
    <m/>
    <x v="2"/>
  </r>
  <r>
    <x v="0"/>
    <s v="Pilar III"/>
    <x v="1"/>
    <s v="lt003_entity"/>
    <s v="esg_sbsctr"/>
    <x v="1"/>
    <s v="1. Concluído"/>
    <m/>
    <d v="2024-10-18T00:00:00"/>
    <d v="2024-11-15T00:00:00"/>
    <d v="2024-12-18T00:00:00"/>
    <m/>
    <m/>
    <x v="2"/>
  </r>
  <r>
    <x v="0"/>
    <s v="Pilar III"/>
    <x v="1"/>
    <s v="lt003_entity"/>
    <s v="ttl_lblty"/>
    <x v="1"/>
    <s v="1. Concluído"/>
    <m/>
    <d v="2024-10-28T00:00:00"/>
    <d v="2024-11-28T00:00:00"/>
    <d v="2024-12-18T00:00:00"/>
    <d v="2024-10-28T00:00:00"/>
    <m/>
    <x v="2"/>
  </r>
  <r>
    <x v="0"/>
    <s v="Pilar III"/>
    <x v="1"/>
    <s v="lt003_entity"/>
    <s v="isin"/>
    <x v="1"/>
    <s v="1. Concluíd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1"/>
    <s v="1. Concluído"/>
    <m/>
    <d v="2024-10-28T00:00:00"/>
    <d v="2024-11-15T00:00:00"/>
    <d v="2024-12-18T00:00:00"/>
    <d v="2024-10-28T00:00:00"/>
    <m/>
    <x v="2"/>
  </r>
  <r>
    <x v="0"/>
    <s v="Pilar III"/>
    <x v="1"/>
    <s v="lt003_entity"/>
    <s v="flg_grp_nfrd_applcblty"/>
    <x v="1"/>
    <s v="1. Concluído"/>
    <m/>
    <d v="2024-10-24T00:00:00"/>
    <s v=""/>
    <d v="2024-10-31T00:00:00"/>
    <d v="2024-10-23T00:00:00"/>
    <m/>
    <x v="2"/>
  </r>
  <r>
    <x v="0"/>
    <s v="Pilar III"/>
    <x v="1"/>
    <s v="lt003_entity"/>
    <s v="grp_emssns_scp1"/>
    <x v="6"/>
    <s v="1. Concluído"/>
    <m/>
    <d v="2024-10-24T00:00:00"/>
    <s v=""/>
    <d v="2024-12-18T00:00:00"/>
    <d v="2024-10-23T00:00:00"/>
    <m/>
    <x v="2"/>
  </r>
  <r>
    <x v="0"/>
    <s v="Pilar III"/>
    <x v="1"/>
    <s v="lt003_entity"/>
    <s v="grp_emssns_scp2"/>
    <x v="6"/>
    <s v="1. Concluído"/>
    <m/>
    <d v="2024-10-24T00:00:00"/>
    <s v=""/>
    <d v="2024-12-18T00:00:00"/>
    <d v="2024-10-23T00:00:00"/>
    <m/>
    <x v="2"/>
  </r>
  <r>
    <x v="0"/>
    <s v="Pilar III"/>
    <x v="1"/>
    <s v="lt003_entity"/>
    <s v="grp_emssns_scp3"/>
    <x v="6"/>
    <s v="1. Concluído"/>
    <m/>
    <d v="2024-10-24T00:00:00"/>
    <s v=""/>
    <d v="2024-12-18T00:00:00"/>
    <d v="2024-10-23T00:00:00"/>
    <m/>
    <x v="2"/>
  </r>
  <r>
    <x v="0"/>
    <s v="Pilar III"/>
    <x v="1"/>
    <s v="lt004_protection"/>
    <s v="typ_ep_scr"/>
    <x v="1"/>
    <s v="1. Concluído"/>
    <m/>
    <d v="2024-10-18T00:00:00"/>
    <d v="2024-11-15T00:00:00"/>
    <d v="2024-11-15T00:00:00"/>
    <m/>
    <m/>
    <x v="2"/>
  </r>
  <r>
    <x v="0"/>
    <s v="Pilar III"/>
    <x v="1"/>
    <s v="lt004_protection"/>
    <s v="ep_scr"/>
    <x v="1"/>
    <s v="5. Em Correção"/>
    <m/>
    <d v="2024-10-18T00:00:00"/>
    <d v="2024-10-31T00:00:00"/>
    <d v="2024-10-31T00:00:00"/>
    <m/>
    <m/>
    <x v="2"/>
  </r>
  <r>
    <x v="0"/>
    <s v="Pilar III"/>
    <x v="1"/>
    <s v="lt004_protection"/>
    <s v="typ_epc_lbl"/>
    <x v="1"/>
    <s v="1. Concluído"/>
    <m/>
    <d v="2024-10-18T00:00:00"/>
    <d v="2024-10-31T00:00:00"/>
    <d v="2024-10-31T00:00:00"/>
    <m/>
    <m/>
    <x v="2"/>
  </r>
  <r>
    <x v="0"/>
    <s v="Pilar III"/>
    <x v="1"/>
    <s v="lt004_protection"/>
    <s v="epc_lbl"/>
    <x v="1"/>
    <s v="5. Em Correção"/>
    <m/>
    <d v="2024-10-18T00:00:00"/>
    <d v="2024-10-31T00:00:00"/>
    <d v="2024-10-31T00:00:00"/>
    <m/>
    <m/>
    <x v="2"/>
  </r>
  <r>
    <x v="0"/>
    <s v="Pilar III"/>
    <x v="1"/>
    <s v="lt004_protection"/>
    <s v="emssns_scp1_prtctn"/>
    <x v="1"/>
    <s v="2.1 Em Teste"/>
    <m/>
    <s v=""/>
    <d v="2024-12-05T00:00:00"/>
    <d v="2024-12-05T00:00:00"/>
    <m/>
    <m/>
    <x v="2"/>
  </r>
  <r>
    <x v="0"/>
    <s v="Pilar III"/>
    <x v="1"/>
    <s v="lt004_protection"/>
    <s v="emssns_scp2_prtctn"/>
    <x v="1"/>
    <s v="2.1 Em Teste"/>
    <m/>
    <s v=""/>
    <d v="2024-12-05T00:00:00"/>
    <d v="2024-12-05T00:00:00"/>
    <m/>
    <m/>
    <x v="2"/>
  </r>
  <r>
    <x v="0"/>
    <s v="Pilar III"/>
    <x v="1"/>
    <s v="lt004_protection"/>
    <s v="emssns_scp3_prtctn"/>
    <x v="1"/>
    <s v="2.1 Em Teste"/>
    <m/>
    <s v=""/>
    <d v="2024-12-05T00:00:00"/>
    <d v="2024-12-05T00:00:00"/>
    <m/>
    <m/>
    <x v="2"/>
  </r>
  <r>
    <x v="0"/>
    <s v="Pilar III"/>
    <x v="1"/>
    <s v="lt004_protection"/>
    <s v="mthd_usd_prtctn_scp_1"/>
    <x v="1"/>
    <s v="2.1 Em Teste"/>
    <m/>
    <s v=""/>
    <d v="2024-12-05T00:00:00"/>
    <d v="2024-12-05T00:00:00"/>
    <m/>
    <m/>
    <x v="2"/>
  </r>
  <r>
    <x v="0"/>
    <s v="Pilar III"/>
    <x v="1"/>
    <s v="lt004_protection"/>
    <s v="mthd_usd_prtctn_scp_2"/>
    <x v="1"/>
    <s v="2.1 Em Teste"/>
    <m/>
    <s v=""/>
    <d v="2024-12-05T00:00:00"/>
    <d v="2024-12-05T00:00:00"/>
    <m/>
    <m/>
    <x v="2"/>
  </r>
  <r>
    <x v="0"/>
    <s v="Pilar III"/>
    <x v="1"/>
    <s v="lt004_protection"/>
    <s v="mthd_usd_prtctn_scp_3"/>
    <x v="1"/>
    <s v="2.1 Em Teste"/>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0"/>
    <s v="4. Validação EF"/>
    <m/>
    <d v="2024-10-30T00:00:00"/>
    <d v="2924-11-28T00:00:00"/>
    <d v="2924-11-28T00:00:00"/>
    <d v="2024-10-30T00:00:00"/>
    <m/>
    <x v="2"/>
  </r>
  <r>
    <x v="0"/>
    <s v="Pilar III"/>
    <x v="1"/>
    <s v="lt007_instr_activity"/>
    <s v="envrnmntl_objctv"/>
    <x v="1"/>
    <s v="1. Concluído"/>
    <m/>
    <d v="2024-10-28T00:00:00"/>
    <d v="2024-11-28T00:00:00"/>
    <d v="2024-11-28T00:00:00"/>
    <d v="2024-10-28T00:00:00"/>
    <m/>
    <x v="2"/>
  </r>
  <r>
    <x v="0"/>
    <s v="Pilar III"/>
    <x v="1"/>
    <s v="lt007_instr_activity"/>
    <s v="typ_actvty"/>
    <x v="1"/>
    <s v="1. Concluído"/>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6"/>
    <s v="1. Concluído"/>
    <m/>
    <s v=""/>
    <d v="2024-12-05T00:00:00"/>
    <d v="2024-12-05T00:00:00"/>
    <d v="2024-10-28T00:00:00"/>
    <m/>
    <x v="2"/>
  </r>
  <r>
    <x v="0"/>
    <s v="Pilar III"/>
    <x v="1"/>
    <s v="lt002_instrument"/>
    <s v="mthd_usd_instrmnt_scp_2"/>
    <x v="6"/>
    <s v="1. Concluído"/>
    <m/>
    <s v=""/>
    <d v="2024-12-05T00:00:00"/>
    <d v="2024-12-05T00:00:00"/>
    <d v="2024-10-28T00:00:00"/>
    <m/>
    <x v="2"/>
  </r>
  <r>
    <x v="0"/>
    <s v="Pilar III"/>
    <x v="1"/>
    <s v="lt002_instrument"/>
    <s v="mthd_usd_instrmnt_scp_3"/>
    <x v="6"/>
    <s v="1. Concluído"/>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1"/>
    <s v="1. Concluído"/>
    <s v="Pendente de feedback de CDO - Criação de Nova tabela"/>
    <s v=""/>
    <d v="2024-11-28T00:00:00"/>
    <d v="2024-11-28T00:00:00"/>
    <d v="2024-10-28T00:00:00"/>
    <m/>
    <x v="2"/>
  </r>
  <r>
    <x v="0"/>
    <s v="Pilar III"/>
    <x v="1"/>
    <s v="lt007_instr_activity"/>
    <s v="sstnbl_ctgry"/>
    <x v="0"/>
    <s v="4. Validação EF"/>
    <s v="Pendente de feedback de CDO - Criação de Nova tabela"/>
    <d v="2024-10-28T00:00:00"/>
    <d v="2024-11-28T00:00:00"/>
    <d v="2024-11-28T00:00:00"/>
    <d v="2024-10-28T00:00:00"/>
    <m/>
    <x v="2"/>
  </r>
  <r>
    <x v="0"/>
    <s v="Pilar III"/>
    <x v="1"/>
    <s v="lt002_instrument"/>
    <s v="grss_intrst_incm"/>
    <x v="3"/>
    <s v="2.1 Em Teste"/>
    <s v="26/07/2024: Campo não espelhado na documentação da Deloitte (LT ESTR)"/>
    <d v="2024-11-22T00:00:00"/>
    <d v="2024-12-05T00:00:00"/>
    <d v="2024-12-05T00:00:00"/>
    <d v="2024-10-30T00:00:00"/>
    <m/>
    <x v="2"/>
  </r>
  <r>
    <x v="0"/>
    <s v="Pilar III"/>
    <x v="1"/>
    <s v="lt002_instrument"/>
    <s v="grss_cmmssn_incm"/>
    <x v="3"/>
    <s v="2.1 Em Teste"/>
    <s v="26/07/2024: Campo não espelhado na documentação da Deloitte (LT ESTR)"/>
    <d v="2024-11-22T00:00:00"/>
    <d v="2024-12-05T00:00:00"/>
    <d v="2024-12-05T00:00:00"/>
    <d v="2024-10-30T00:00:00"/>
    <m/>
    <x v="2"/>
  </r>
  <r>
    <x v="0"/>
    <s v="Pilar III"/>
    <x v="1"/>
    <s v="lt002_instrument"/>
    <s v="grss_cmmssn_incm_off_blnc"/>
    <x v="3"/>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1"/>
    <s v="1. Concluíd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1"/>
    <s v="5. Em Correção"/>
    <s v="Pendente de feedback de CDO - Reunião marcada para dia 28/10"/>
    <d v="2024-10-23T00:00:00"/>
    <d v="2024-11-28T00:00:00"/>
    <d v="2024-11-28T00:00:00"/>
    <d v="2024-10-30T00:00:00"/>
    <m/>
    <x v="2"/>
  </r>
  <r>
    <x v="0"/>
    <s v="Pilar III"/>
    <x v="1"/>
    <s v="lt004_protection"/>
    <s v="orgnl_prtctn_vl"/>
    <x v="7"/>
    <s v="5. Em Correção"/>
    <s v="26/07/2024: Campo não espelhado na documentação da Deloitte (LT ESTR)"/>
    <d v="2024-10-30T00:00:00"/>
    <d v="2024-11-15T00:00:00"/>
    <d v="2024-11-15T00:00:00"/>
    <d v="2024-10-30T00:00:00"/>
    <m/>
    <x v="2"/>
  </r>
  <r>
    <x v="0"/>
    <s v="Pilar III"/>
    <x v="1"/>
    <s v="lt004_protection"/>
    <s v="prtctn_vl"/>
    <x v="1"/>
    <s v="5. Em Correção"/>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1"/>
    <s v="1. Concluído"/>
    <s v="Tema de Loan Tape Estrutural"/>
    <d v="2024-10-28T00:00:00"/>
    <d v="2024-11-28T00:00:00"/>
    <d v="2024-11-28T00:00:00"/>
    <m/>
    <m/>
    <x v="2"/>
  </r>
  <r>
    <x v="0"/>
    <s v="Pilar III"/>
    <x v="1"/>
    <s v="lt004_protection"/>
    <s v="flg_exec"/>
    <x v="1"/>
    <s v="1. Concluído"/>
    <s v="Tema de Loan Tape Estrutural"/>
    <d v="2024-10-28T00:00:00"/>
    <d v="2024-11-28T00:00:00"/>
    <d v="2024-11-28T00:00:00"/>
    <m/>
    <m/>
    <x v="2"/>
  </r>
  <r>
    <x v="0"/>
    <s v="Pilar III"/>
    <x v="1"/>
    <s v="lt004_protection"/>
    <s v="flg_col"/>
    <x v="1"/>
    <s v="5. Em Correção"/>
    <s v="Tema de Loan Tape Estrutural"/>
    <d v="2024-10-28T00:00:00"/>
    <d v="2024-11-28T00:00:00"/>
    <d v="2024-11-28T00:00:00"/>
    <m/>
    <m/>
    <x v="2"/>
  </r>
  <r>
    <x v="0"/>
    <s v="Pilar III"/>
    <x v="1"/>
    <s v="lt004_protection"/>
    <s v="flg_pro"/>
    <x v="1"/>
    <s v="1. Concluído"/>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18"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pivotTables/pivotTable2.xml><?xml version="1.0" encoding="utf-8"?>
<pivotTableDefinition xmlns="http://schemas.openxmlformats.org/spreadsheetml/2006/main" name="PivotTable14" cacheId="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K14" firstHeaderRow="1" firstDataRow="2" firstDataCol="1" rowPageCount="2"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Col" showAll="0">
      <items count="9">
        <item x="2"/>
        <item x="1"/>
        <item x="3"/>
        <item x="6"/>
        <item x="0"/>
        <item x="7"/>
        <item x="5"/>
        <item x="4"/>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5"/>
  </colFields>
  <colItems count="9">
    <i>
      <x/>
    </i>
    <i>
      <x v="1"/>
    </i>
    <i>
      <x v="2"/>
    </i>
    <i>
      <x v="3"/>
    </i>
    <i>
      <x v="4"/>
    </i>
    <i>
      <x v="5"/>
    </i>
    <i>
      <x v="6"/>
    </i>
    <i>
      <x v="7"/>
    </i>
    <i t="grand">
      <x/>
    </i>
  </colItems>
  <pageFields count="2">
    <pageField fld="0" item="0" hier="-1"/>
    <pageField fld="2" item="1" hier="-1"/>
  </pageFields>
  <dataFields count="1">
    <dataField name="Count of Campo" fld="4" subtotal="count" baseField="0" baseItem="0"/>
  </dataFields>
  <chartFormats count="8">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3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9">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2"/>
          </reference>
        </references>
      </pivotArea>
    </chartFormat>
    <chartFormat chart="6" format="26">
      <pivotArea type="data" outline="0" fieldPosition="0">
        <references count="3">
          <reference field="4294967294" count="1" selected="0">
            <x v="0"/>
          </reference>
          <reference field="3" count="1" selected="0">
            <x v="1"/>
          </reference>
          <reference field="5" count="1" selected="0">
            <x v="2"/>
          </reference>
        </references>
      </pivotArea>
    </chartFormat>
    <chartFormat chart="6" format="27">
      <pivotArea type="data" outline="0" fieldPosition="0">
        <references count="3">
          <reference field="4294967294" count="1" selected="0">
            <x v="0"/>
          </reference>
          <reference field="3" count="1" selected="0">
            <x v="2"/>
          </reference>
          <reference field="5" count="1" selected="0">
            <x v="3"/>
          </reference>
        </references>
      </pivotArea>
    </chartFormat>
    <chartFormat chart="6" format="28">
      <pivotArea type="data" outline="0" fieldPosition="0">
        <references count="3">
          <reference field="4294967294" count="1" selected="0">
            <x v="0"/>
          </reference>
          <reference field="3" count="1" selected="0">
            <x v="5"/>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15" cacheId="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2" firstHeaderRow="1" firstDataRow="1" firstDataCol="1" rowPageCount="3"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Row" showAll="0">
      <items count="9">
        <item x="2"/>
        <item x="1"/>
        <item x="3"/>
        <item x="6"/>
        <item x="0"/>
        <item x="7"/>
        <item x="5"/>
        <item x="4"/>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s>
  <rowFields count="1">
    <field x="5"/>
  </rowFields>
  <rowItems count="9">
    <i>
      <x/>
    </i>
    <i>
      <x v="1"/>
    </i>
    <i>
      <x v="2"/>
    </i>
    <i>
      <x v="3"/>
    </i>
    <i>
      <x v="4"/>
    </i>
    <i>
      <x v="5"/>
    </i>
    <i>
      <x v="6"/>
    </i>
    <i>
      <x v="7"/>
    </i>
    <i t="grand">
      <x/>
    </i>
  </rowItems>
  <colItems count="1">
    <i/>
  </colItems>
  <pageFields count="3">
    <pageField fld="0" item="0" hier="-1"/>
    <pageField fld="13" hier="-1"/>
    <pageField fld="2" item="1" hier="-1"/>
  </pageFields>
  <dataFields count="1">
    <dataField name="Count of Campo" fld="4"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3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7" format="22" series="1">
      <pivotArea type="data" outline="0" fieldPosition="0">
        <references count="2">
          <reference field="4294967294" count="1" selected="0">
            <x v="0"/>
          </reference>
          <reference field="5" count="1" selected="0">
            <x v="0"/>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4"/>
          </reference>
        </references>
      </pivotArea>
    </chartFormat>
    <chartFormat chart="7" format="43">
      <pivotArea type="data" outline="0" fieldPosition="0">
        <references count="3">
          <reference field="4294967294" count="1" selected="0">
            <x v="0"/>
          </reference>
          <reference field="3" count="1" selected="0">
            <x v="0"/>
          </reference>
          <reference field="5" count="1" selected="0">
            <x v="4"/>
          </reference>
        </references>
      </pivotArea>
    </chartFormat>
    <chartFormat chart="7" format="44">
      <pivotArea type="data" outline="0" fieldPosition="0">
        <references count="3">
          <reference field="4294967294" count="1" selected="0">
            <x v="0"/>
          </reference>
          <reference field="3" count="1" selected="0">
            <x v="2"/>
          </reference>
          <reference field="5" count="1" selected="0">
            <x v="4"/>
          </reference>
        </references>
      </pivotArea>
    </chartFormat>
    <chartFormat chart="7" format="45">
      <pivotArea type="data" outline="0" fieldPosition="0">
        <references count="3">
          <reference field="4294967294" count="1" selected="0">
            <x v="0"/>
          </reference>
          <reference field="3" count="1" selected="0">
            <x v="1"/>
          </reference>
          <reference field="5" count="1" selected="0">
            <x v="4"/>
          </reference>
        </references>
      </pivotArea>
    </chartFormat>
    <chartFormat chart="7" format="46" series="1">
      <pivotArea type="data" outline="0" fieldPosition="0">
        <references count="2">
          <reference field="4294967294" count="1" selected="0">
            <x v="0"/>
          </reference>
          <reference field="5" count="1" selected="0">
            <x v="3"/>
          </reference>
        </references>
      </pivotArea>
    </chartFormat>
    <chartFormat chart="7" format="47">
      <pivotArea type="data" outline="0" fieldPosition="0">
        <references count="3">
          <reference field="4294967294" count="1" selected="0">
            <x v="0"/>
          </reference>
          <reference field="3" count="1" selected="0">
            <x v="1"/>
          </reference>
          <reference field="5" count="1" selected="0">
            <x v="3"/>
          </reference>
        </references>
      </pivotArea>
    </chartFormat>
    <chartFormat chart="7" format="48">
      <pivotArea type="data" outline="0" fieldPosition="0">
        <references count="3">
          <reference field="4294967294" count="1" selected="0">
            <x v="0"/>
          </reference>
          <reference field="3" count="1" selected="0">
            <x v="2"/>
          </reference>
          <reference field="5" count="1" selected="0">
            <x v="3"/>
          </reference>
        </references>
      </pivotArea>
    </chartFormat>
    <chartFormat chart="7" format="49">
      <pivotArea type="data" outline="0" fieldPosition="0">
        <references count="3">
          <reference field="4294967294" count="1" selected="0">
            <x v="0"/>
          </reference>
          <reference field="3" count="1" selected="0">
            <x v="5"/>
          </reference>
          <reference field="5" count="1" selected="0">
            <x v="3"/>
          </reference>
        </references>
      </pivotArea>
    </chartFormat>
    <chartFormat chart="7" format="50" series="1">
      <pivotArea type="data" outline="0" fieldPosition="0">
        <references count="2">
          <reference field="4294967294" count="1" selected="0">
            <x v="0"/>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7" cacheId="2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I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14">
    <i>
      <x/>
    </i>
    <i>
      <x v="1"/>
    </i>
    <i>
      <x v="2"/>
    </i>
    <i>
      <x v="3"/>
    </i>
    <i>
      <x v="4"/>
    </i>
    <i>
      <x v="5"/>
    </i>
    <i>
      <x v="6"/>
    </i>
    <i>
      <x v="7"/>
    </i>
    <i>
      <x v="8"/>
    </i>
    <i>
      <x v="9"/>
    </i>
    <i>
      <x v="10"/>
    </i>
    <i>
      <x v="11"/>
    </i>
    <i>
      <x v="12"/>
    </i>
    <i t="grand">
      <x/>
    </i>
  </rowItems>
  <colFields count="1">
    <field x="5"/>
  </colFields>
  <colItems count="7">
    <i>
      <x/>
    </i>
    <i>
      <x v="1"/>
    </i>
    <i>
      <x v="2"/>
    </i>
    <i>
      <x v="3"/>
    </i>
    <i>
      <x v="4"/>
    </i>
    <i>
      <x v="5"/>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10">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4"/>
          </reference>
        </references>
      </pivotArea>
    </chartFormat>
    <chartFormat chart="3" format="51">
      <pivotArea type="data" outline="0" fieldPosition="0">
        <references count="3">
          <reference field="4294967294" count="1" selected="0">
            <x v="0"/>
          </reference>
          <reference field="3" count="1" selected="0">
            <x v="0"/>
          </reference>
          <reference field="5" count="1" selected="0">
            <x v="4"/>
          </reference>
        </references>
      </pivotArea>
    </chartFormat>
    <chartFormat chart="3" format="52" series="1">
      <pivotArea type="data" outline="0" fieldPosition="0">
        <references count="2">
          <reference field="4294967294" count="1" selected="0">
            <x v="0"/>
          </reference>
          <reference field="5" count="1" selected="0">
            <x v="6"/>
          </reference>
        </references>
      </pivotArea>
    </chartFormat>
    <chartFormat chart="3" format="53" series="1">
      <pivotArea type="data" outline="0" fieldPosition="0">
        <references count="2">
          <reference field="4294967294" count="1" selected="0">
            <x v="0"/>
          </reference>
          <reference field="5" count="1" selected="0">
            <x v="3"/>
          </reference>
        </references>
      </pivotArea>
    </chartFormat>
    <chartFormat chart="3" format="54" series="1">
      <pivotArea type="data" outline="0" fieldPosition="0">
        <references count="2">
          <reference field="4294967294" count="1" selected="0">
            <x v="0"/>
          </reference>
          <reference field="5" count="1" selected="0">
            <x v="5"/>
          </reference>
        </references>
      </pivotArea>
    </chartFormat>
    <chartFormat chart="3" format="55">
      <pivotArea type="data" outline="0" fieldPosition="0">
        <references count="3">
          <reference field="4294967294" count="1" selected="0">
            <x v="0"/>
          </reference>
          <reference field="3" count="1" selected="0">
            <x v="3"/>
          </reference>
          <reference field="5" count="1" selected="0">
            <x v="5"/>
          </reference>
        </references>
      </pivotArea>
    </chartFormat>
    <chartFormat chart="3" format="56">
      <pivotArea type="data" outline="0" fieldPosition="0">
        <references count="3">
          <reference field="4294967294" count="1" selected="0">
            <x v="0"/>
          </reference>
          <reference field="3" count="1" selected="0">
            <x v="3"/>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5" cacheId="2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43">
      <pivotArea type="data" outline="0" fieldPosition="0">
        <references count="2">
          <reference field="4294967294" count="1" selected="0">
            <x v="0"/>
          </reference>
          <reference field="6" count="1" selected="0">
            <x v="1"/>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2"/>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8.xml><?xml version="1.0" encoding="utf-8"?>
<pivotTableDefinition xmlns="http://schemas.openxmlformats.org/spreadsheetml/2006/main" name="PivotTable10" cacheId="3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5"/>
        <item x="1"/>
        <item x="4"/>
        <item x="3"/>
        <item x="2"/>
      </items>
    </pivotField>
    <pivotField dataField="1" subtotalTop="0" showAll="0" defaultSubtotal="0"/>
  </pivotFields>
  <rowFields count="1">
    <field x="3"/>
  </rowFields>
  <rowItems count="6">
    <i>
      <x/>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7">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04883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2"/>
          </reference>
        </references>
      </pivotArea>
    </chartFormat>
    <chartFormat chart="6" format="29">
      <pivotArea type="data" outline="0" fieldPosition="0">
        <references count="2">
          <reference field="4294967294" count="1" selected="0">
            <x v="0"/>
          </reference>
          <reference field="3" count="1" selected="0">
            <x v="3"/>
          </reference>
        </references>
      </pivotArea>
    </chartFormat>
    <chartFormat chart="6" format="30">
      <pivotArea type="data" outline="0" fieldPosition="0">
        <references count="2">
          <reference field="4294967294" count="1" selected="0">
            <x v="0"/>
          </reference>
          <reference field="3" count="1" selected="0">
            <x v="4"/>
          </reference>
        </references>
      </pivotArea>
    </chartFormat>
    <chartFormat chart="6" format="31">
      <pivotArea type="data" outline="0" fieldPosition="0">
        <references count="2">
          <reference field="4294967294" count="1" selected="0">
            <x v="0"/>
          </reference>
          <reference field="3"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9.xml><?xml version="1.0" encoding="utf-8"?>
<pivotTableDefinition xmlns="http://schemas.openxmlformats.org/spreadsheetml/2006/main" name="PivotTable8" cacheId="2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7">
    <i>
      <x/>
    </i>
    <i>
      <x v="1"/>
    </i>
    <i>
      <x v="2"/>
    </i>
    <i>
      <x v="3"/>
    </i>
    <i>
      <x v="4"/>
    </i>
    <i>
      <x v="5"/>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8">
    <chartFormat chart="6" format="35">
      <pivotArea type="data" outline="0" fieldPosition="0">
        <references count="2">
          <reference field="4294967294" count="1" selected="0">
            <x v="0"/>
          </reference>
          <reference field="4" count="1" selected="0">
            <x v="1"/>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4"/>
          </reference>
        </references>
      </pivotArea>
    </chartFormat>
    <chartFormat chart="6" format="44">
      <pivotArea type="data" outline="0" fieldPosition="0">
        <references count="2">
          <reference field="4294967294" count="1" selected="0">
            <x v="0"/>
          </reference>
          <reference field="4" count="1" selected="0">
            <x v="6"/>
          </reference>
        </references>
      </pivotArea>
    </chartFormat>
    <chartFormat chart="6" format="45">
      <pivotArea type="data" outline="0" fieldPosition="0">
        <references count="2">
          <reference field="4294967294" count="1" selected="0">
            <x v="0"/>
          </reference>
          <reference field="4" count="1" selected="0">
            <x v="3"/>
          </reference>
        </references>
      </pivotArea>
    </chartFormat>
    <chartFormat chart="6" format="46">
      <pivotArea type="data" outline="0" fieldPosition="0">
        <references count="2">
          <reference field="4294967294" count="1" selected="0">
            <x v="0"/>
          </reference>
          <reference field="4"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tables/table1.xml><?xml version="1.0" encoding="utf-8"?>
<table xmlns="http://schemas.openxmlformats.org/spreadsheetml/2006/main" id="4" name="Table4" displayName="Table4" ref="B6:O574" totalsRowShown="0" headerRowDxfId="289" tableBorderDxfId="288">
  <autoFilter ref="B6:O574">
    <filterColumn colId="1">
      <filters>
        <filter val="Bens Imóveis - Input"/>
      </filters>
    </filterColumn>
  </autoFilter>
  <tableColumns count="14">
    <tableColumn id="1" name="Âmbito" dataDxfId="287"/>
    <tableColumn id="2" name="Sub-âmbito" dataDxfId="286"/>
    <tableColumn id="3" name="Tipo de teste" dataDxfId="285"/>
    <tableColumn id="4" name="Tabela" dataDxfId="284"/>
    <tableColumn id="5" name="Campo" dataDxfId="283"/>
    <tableColumn id="6" name="Status Atual" dataDxfId="282"/>
    <tableColumn id="7" name="Status Anterior" dataDxfId="281"/>
    <tableColumn id="8" name="Observações" dataDxfId="280"/>
    <tableColumn id="9" name="Data de Pedido correção/esclarecimento" dataDxfId="279">
      <calculatedColumnFormula>IF(VLOOKUP(A7,'Aux - pivots1'!$A:$E,3,0)=0, "",VLOOKUP(A7,'Aux - pivots1'!$A:$E,3,0))</calculatedColumnFormula>
    </tableColumn>
    <tableColumn id="10" name="Data de correção prevista" dataDxfId="278">
      <calculatedColumnFormula>IF(VLOOKUP(A7,'Aux - pivots1'!$A:$E,4,0)=0, "",VLOOKUP(A7,'Aux - pivots1'!$A:$E,4,0))</calculatedColumnFormula>
    </tableColumn>
    <tableColumn id="11" name="Data de correção efetiva" dataDxfId="277">
      <calculatedColumnFormula>IF(VLOOKUP(A7,'Aux - pivots1'!$A:$E,5,0)=0, "",VLOOKUP(A7,'Aux - pivots1'!$A:$E,5,0))</calculatedColumnFormula>
    </tableColumn>
    <tableColumn id="12" name="Data Prevista de Re-especificação" dataDxfId="276"/>
    <tableColumn id="13" name="Data Prevista de Teste" dataDxfId="275"/>
    <tableColumn id="14" name="Modelo" dataDxfId="274"/>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273" dataDxfId="271" totalsRowDxfId="269" headerRowBorderDxfId="272" tableBorderDxfId="270" totalsRowBorderDxfId="268">
  <autoFilter ref="B8:X1320">
    <filterColumn colId="1">
      <filters>
        <filter val="Modelo Verde - Output"/>
      </filters>
    </filterColumn>
    <filterColumn colId="4">
      <filters>
        <filter val="modesg_out_empr_info_nfin"/>
      </filters>
    </filterColumn>
    <filterColumn colId="5">
      <filters>
        <filter val="origem_scp1_emss"/>
        <filter val="origem_scp2_emss"/>
        <filter val="origem_scp3_emss"/>
        <filter val="scp1_emss"/>
        <filter val="scp2_emss"/>
        <filter val="scp3_emss"/>
      </filters>
    </filterColumn>
  </autoFilter>
  <tableColumns count="23">
    <tableColumn id="1" name="Âmbito" dataDxfId="267" totalsRowDxfId="266"/>
    <tableColumn id="12" name="Sub-âmbito" dataDxfId="265" totalsRowDxfId="264"/>
    <tableColumn id="2" name="Origem" dataDxfId="263" totalsRowDxfId="262"/>
    <tableColumn id="18" name="Campo Origem" dataDxfId="261" totalsRowDxfId="260"/>
    <tableColumn id="5" name="Tabela" dataDxfId="259" totalsRowDxfId="258"/>
    <tableColumn id="3" name="Campo" dataDxfId="257" totalsRowDxfId="256"/>
    <tableColumn id="20" name="concat" dataDxfId="255" totalsRowDxfId="254">
      <calculatedColumnFormula>Table1[[#This Row],[Tabela]]&amp;Table1[[#This Row],[Campo]]</calculatedColumnFormula>
    </tableColumn>
    <tableColumn id="4" name="Status" dataDxfId="253" totalsRowDxfId="252"/>
    <tableColumn id="19" name="Status2" dataDxfId="251">
      <calculatedColumnFormula>VLOOKUP(Table1[[#This Row],[Status]],Auxiliar!$B$16:$C$24,2,0)</calculatedColumnFormula>
    </tableColumn>
    <tableColumn id="6" name="Tipologia_Testes" dataDxfId="250" totalsRowDxfId="249"/>
    <tableColumn id="10" name="Necessidade de re-especificação? (campo)" dataDxfId="248" totalsRowDxfId="247"/>
    <tableColumn id="9" name="Complexidade" dataDxfId="246" totalsRowDxfId="245"/>
    <tableColumn id="17" name="Data de Alteração Status" dataDxfId="244" totalsRowDxfId="243"/>
    <tableColumn id="8" name="Estimação (horas)" totalsRowFunction="custom" dataDxfId="242" totalsRowDxfId="241">
      <calculatedColumnFormula>INDEX(Auxiliar!$D$5:$F$11,MATCH(Table1[[#This Row],[Tipologia_Testes]],Auxiliar!$B$5:$B$11,0),MATCH(Table1[[#This Row],[Complexidade]],Auxiliar!$D$4:$F$4,0))</calculatedColumnFormula>
      <totalsRowFormula>SUMIF(Table1[Estimação (horas)],"&gt;0")</totalsRowFormula>
    </tableColumn>
    <tableColumn id="7" name="Notas" dataDxfId="240" totalsRowDxfId="239"/>
    <tableColumn id="11" name="Owner" dataDxfId="238" totalsRowDxfId="237"/>
    <tableColumn id="21" name="Data alteração especificação" dataDxfId="236" totalsRowDxfId="235"/>
    <tableColumn id="13" name="Data de inicio testes" dataDxfId="234" totalsRowDxfId="233"/>
    <tableColumn id="14" name="Data de incidência / pedido esclarecimento" dataDxfId="232" totalsRowDxfId="231"/>
    <tableColumn id="15" name="Data de correção/resposta prevista" dataDxfId="230" totalsRowDxfId="229"/>
    <tableColumn id="22" name="Data de correção/resposta efetiva" dataDxfId="228" totalsRowDxfId="227"/>
    <tableColumn id="23" name="Horas efetivas" dataDxfId="226" totalsRowDxfId="225">
      <calculatedColumnFormula>VLOOKUP(Table1[[#This Row],[Status]],Auxiliar!$B$16:$D$24,3,0)*Table1[[#This Row],[Estimação (horas)]]</calculatedColumnFormula>
    </tableColumn>
    <tableColumn id="16" name="Query" dataDxfId="224" totalsRowDxfId="223"/>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2.1 Em Teste</v>
      </c>
      <c r="H368" s="65">
        <f>VLOOKUP(A368,'Aux - pivots1'!$A:$B,2,0)</f>
        <v>2</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2.1 Em Teste</v>
      </c>
      <c r="H369" s="65">
        <f>VLOOKUP(A369,'Aux - pivots1'!$A:$B,2,0)</f>
        <v>2</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2.1 Em Teste</v>
      </c>
      <c r="H370" s="65">
        <f>VLOOKUP(A370,'Aux - pivots1'!$A:$B,2,0)</f>
        <v>2</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2.1 Em Teste</v>
      </c>
      <c r="H371" s="65">
        <f>VLOOKUP(A371,'Aux - pivots1'!$A:$B,2,0)</f>
        <v>2</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2.2 Em Re-especificação</v>
      </c>
      <c r="H397" s="65">
        <f>VLOOKUP(A397,'Aux - pivots1'!$A:$B,2,0)</f>
        <v>3</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1. Concluído</v>
      </c>
      <c r="H400" s="65">
        <f>VLOOKUP(A400,'Aux - pivots1'!$A:$B,2,0)</f>
        <v>1</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1. Concluído</v>
      </c>
      <c r="H401" s="65">
        <f>VLOOKUP(A401,'Aux - pivots1'!$A:$B,2,0)</f>
        <v>1</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1. Concluído</v>
      </c>
      <c r="H402" s="65">
        <f>VLOOKUP(A402,'Aux - pivots1'!$A:$B,2,0)</f>
        <v>1</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1. Concluído</v>
      </c>
      <c r="H404" s="65">
        <f>VLOOKUP(A404,'Aux - pivots1'!$A:$B,2,0)</f>
        <v>1</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1. Concluído</v>
      </c>
      <c r="H405" s="65">
        <f>VLOOKUP(A405,'Aux - pivots1'!$A:$B,2,0)</f>
        <v>1</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1. Concluído</v>
      </c>
      <c r="H406" s="65">
        <f>VLOOKUP(A406,'Aux - pivots1'!$A:$B,2,0)</f>
        <v>1</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2.2 Em Re-especificação</v>
      </c>
      <c r="H431" s="65">
        <f>VLOOKUP(A431,'Aux - pivots1'!$A:$B,2,0)</f>
        <v>3</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2.2 Em Re-especificação</v>
      </c>
      <c r="H432" s="65">
        <f>VLOOKUP(A432,'Aux - pivots1'!$A:$B,2,0)</f>
        <v>3</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2.2 Em Re-especificação</v>
      </c>
      <c r="H433" s="65">
        <f>VLOOKUP(A433,'Aux - pivots1'!$A:$B,2,0)</f>
        <v>3</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2.2 Em Re-especificação</v>
      </c>
      <c r="H434" s="65">
        <f>VLOOKUP(A434,'Aux - pivots1'!$A:$B,2,0)</f>
        <v>3</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2.2 Em Re-especificação</v>
      </c>
      <c r="H435" s="65">
        <f>VLOOKUP(A435,'Aux - pivots1'!$A:$B,2,0)</f>
        <v>3</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2.2 Em Re-especificação</v>
      </c>
      <c r="H437" s="65">
        <f>VLOOKUP(A437,'Aux - pivots1'!$A:$B,2,0)</f>
        <v>3</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2.2 Em Re-especificação</v>
      </c>
      <c r="H438" s="65">
        <f>VLOOKUP(A438,'Aux - pivots1'!$A:$B,2,0)</f>
        <v>3</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2.2 Em Re-especificação</v>
      </c>
      <c r="H439" s="65">
        <f>VLOOKUP(A439,'Aux - pivots1'!$A:$B,2,0)</f>
        <v>3</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2.2 Em Re-especificação</v>
      </c>
      <c r="H440" s="65">
        <f>VLOOKUP(A440,'Aux - pivots1'!$A:$B,2,0)</f>
        <v>3</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2.2 Em Re-especificação</v>
      </c>
      <c r="H441" s="65">
        <f>VLOOKUP(A441,'Aux - pivots1'!$A:$B,2,0)</f>
        <v>3</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2.2 Em Re-especificação</v>
      </c>
      <c r="H442" s="65">
        <f>VLOOKUP(A442,'Aux - pivots1'!$A:$B,2,0)</f>
        <v>3</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2.2 Em Re-especificação</v>
      </c>
      <c r="H444" s="65">
        <f>VLOOKUP(A444,'Aux - pivots1'!$A:$B,2,0)</f>
        <v>3</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2.2 Em Re-especificação</v>
      </c>
      <c r="H445" s="65">
        <f>VLOOKUP(A445,'Aux - pivots1'!$A:$B,2,0)</f>
        <v>3</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3. Pendente de outros desenvolvimentos</v>
      </c>
      <c r="H448" s="65">
        <f>VLOOKUP(A448,'Aux - pivots1'!$A:$B,2,0)</f>
        <v>4</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1. Concluído</v>
      </c>
      <c r="H471" s="65">
        <f>VLOOKUP(A471,'Aux - pivots1'!$A:$B,2,0)</f>
        <v>1</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1. Concluído</v>
      </c>
      <c r="H472" s="65">
        <f>VLOOKUP(A472,'Aux - pivots1'!$A:$B,2,0)</f>
        <v>1</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1. Concluído</v>
      </c>
      <c r="H475" s="65">
        <f>VLOOKUP(A475,'Aux - pivots1'!$A:$B,2,0)</f>
        <v>1</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1. Concluído</v>
      </c>
      <c r="H481" s="65">
        <f>VLOOKUP(A481,'Aux - pivots1'!$A:$B,2,0)</f>
        <v>1</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1. Concluído</v>
      </c>
      <c r="H483" s="65">
        <f>VLOOKUP(A483,'Aux - pivots1'!$A:$B,2,0)</f>
        <v>1</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1. Concluído</v>
      </c>
      <c r="H484" s="65">
        <f>VLOOKUP(A484,'Aux - pivots1'!$A:$B,2,0)</f>
        <v>1</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1. Concluído</v>
      </c>
      <c r="H485" s="65">
        <f>VLOOKUP(A485,'Aux - pivots1'!$A:$B,2,0)</f>
        <v>1</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1. Concluído</v>
      </c>
      <c r="H486" s="65">
        <f>VLOOKUP(A486,'Aux - pivots1'!$A:$B,2,0)</f>
        <v>1</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1. Concluído</v>
      </c>
      <c r="H487" s="65">
        <f>VLOOKUP(A487,'Aux - pivots1'!$A:$B,2,0)</f>
        <v>1</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1. Concluído</v>
      </c>
      <c r="H488" s="65">
        <f>VLOOKUP(A488,'Aux - pivots1'!$A:$B,2,0)</f>
        <v>1</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1. Concluído</v>
      </c>
      <c r="H489" s="65">
        <f>VLOOKUP(A489,'Aux - pivots1'!$A:$B,2,0)</f>
        <v>1</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3. Pendente de outros desenvolvimentos</v>
      </c>
      <c r="H497" s="65">
        <f>VLOOKUP(A497,'Aux - pivots1'!$A:$B,2,0)</f>
        <v>4</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3. Pendente de outros desenvolvimentos</v>
      </c>
      <c r="H498" s="65">
        <f>VLOOKUP(A498,'Aux - pivots1'!$A:$B,2,0)</f>
        <v>4</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3. Pendente de outros desenvolvimentos</v>
      </c>
      <c r="H499" s="65">
        <f>VLOOKUP(A499,'Aux - pivots1'!$A:$B,2,0)</f>
        <v>4</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1. Concluído</v>
      </c>
      <c r="H560" s="65">
        <f>VLOOKUP(A560,'Aux - pivots1'!$A:$B,2,0)</f>
        <v>1</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5. Em Correção</v>
      </c>
      <c r="H561" s="65">
        <f>VLOOKUP(A561,'Aux - pivots1'!$A:$B,2,0)</f>
        <v>6</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1. Concluído</v>
      </c>
      <c r="H562" s="65">
        <f>VLOOKUP(A562,'Aux - pivots1'!$A:$B,2,0)</f>
        <v>1</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22" priority="11" operator="notEqual">
      <formula>0</formula>
    </cfRule>
  </conditionalFormatting>
  <conditionalFormatting sqref="L21:L23">
    <cfRule type="cellIs" dxfId="221" priority="3" operator="notEqual">
      <formula>0</formula>
    </cfRule>
  </conditionalFormatting>
  <conditionalFormatting sqref="L577:L579">
    <cfRule type="cellIs" dxfId="220" priority="2" operator="notEqual">
      <formula>0</formula>
    </cfRule>
  </conditionalFormatting>
  <conditionalFormatting sqref="L582:L636">
    <cfRule type="cellIs" dxfId="219" priority="1" operator="notEqual">
      <formula>0</formula>
    </cfRule>
  </conditionalFormatting>
  <conditionalFormatting sqref="M5:M6 N6:FK6">
    <cfRule type="cellIs" dxfId="218" priority="12" operator="notEqual">
      <formula>0</formula>
    </cfRule>
  </conditionalFormatting>
  <conditionalFormatting sqref="M15:FK18 M21:FK23 M577:FK579 M636:FK636">
    <cfRule type="cellIs" dxfId="217" priority="10" operator="greaterThan">
      <formula>0</formula>
    </cfRule>
  </conditionalFormatting>
  <conditionalFormatting sqref="M26:FK27">
    <cfRule type="cellIs" dxfId="216" priority="9" operator="greaterThan">
      <formula>0</formula>
    </cfRule>
  </conditionalFormatting>
  <conditionalFormatting sqref="M42:FK42">
    <cfRule type="cellIs" dxfId="215" priority="8" operator="greaterThan">
      <formula>0</formula>
    </cfRule>
  </conditionalFormatting>
  <conditionalFormatting sqref="M198:FK198">
    <cfRule type="cellIs" dxfId="214" priority="7" operator="greaterThan">
      <formula>0</formula>
    </cfRule>
  </conditionalFormatting>
  <conditionalFormatting sqref="M362:FK362">
    <cfRule type="cellIs" dxfId="213" priority="6" operator="greaterThan">
      <formula>0</formula>
    </cfRule>
  </conditionalFormatting>
  <conditionalFormatting sqref="M447:FK447">
    <cfRule type="cellIs" dxfId="212" priority="5" operator="greaterThan">
      <formula>0</formula>
    </cfRule>
  </conditionalFormatting>
  <conditionalFormatting sqref="M582:FK583">
    <cfRule type="cellIs" dxfId="21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27"/>
  <sheetViews>
    <sheetView showGridLines="0" tabSelected="1" topLeftCell="D30" zoomScale="60" zoomScaleNormal="60" workbookViewId="0">
      <selection activeCell="K39" sqref="K39"/>
    </sheetView>
  </sheetViews>
  <sheetFormatPr defaultColWidth="0" defaultRowHeight="17.399999999999999" zeroHeight="1"/>
  <cols>
    <col min="1" max="2" width="3.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2.09765625" style="26" customWidth="1"/>
    <col min="12" max="13" width="12.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2073</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400" t="s">
        <v>2055</v>
      </c>
      <c r="C8" s="401"/>
      <c r="D8" s="401"/>
      <c r="E8" s="401"/>
      <c r="F8" s="401"/>
      <c r="G8" s="401"/>
      <c r="H8" s="401"/>
      <c r="I8" s="401"/>
      <c r="J8" s="401"/>
      <c r="K8" s="401"/>
      <c r="L8" s="401"/>
      <c r="M8" s="401"/>
      <c r="N8" s="401"/>
      <c r="O8" s="401"/>
      <c r="P8" s="401"/>
      <c r="Q8" s="401"/>
      <c r="R8" s="401"/>
      <c r="S8" s="401"/>
      <c r="T8" s="401"/>
      <c r="U8" s="401"/>
      <c r="V8" s="401"/>
      <c r="W8" s="401"/>
      <c r="X8" s="401"/>
      <c r="Y8" s="401"/>
      <c r="Z8" s="401"/>
      <c r="AA8" s="401"/>
      <c r="AB8" s="401"/>
      <c r="AC8" s="401"/>
      <c r="AD8" s="401"/>
      <c r="AE8" s="401"/>
      <c r="AF8" s="401"/>
      <c r="AG8" s="402"/>
      <c r="AH8" s="117"/>
    </row>
    <row r="9" spans="1:34" ht="17.7" customHeight="1">
      <c r="A9" s="117"/>
      <c r="B9" s="403"/>
      <c r="C9" s="404"/>
      <c r="D9" s="404"/>
      <c r="E9" s="404"/>
      <c r="F9" s="404"/>
      <c r="G9" s="404"/>
      <c r="H9" s="404"/>
      <c r="I9" s="404"/>
      <c r="J9" s="404"/>
      <c r="K9" s="404"/>
      <c r="L9" s="404"/>
      <c r="M9" s="404"/>
      <c r="N9" s="404"/>
      <c r="O9" s="404"/>
      <c r="P9" s="404"/>
      <c r="Q9" s="404"/>
      <c r="R9" s="404"/>
      <c r="S9" s="404"/>
      <c r="T9" s="404"/>
      <c r="U9" s="404"/>
      <c r="V9" s="404"/>
      <c r="W9" s="404"/>
      <c r="X9" s="404"/>
      <c r="Y9" s="404"/>
      <c r="Z9" s="404"/>
      <c r="AA9" s="404"/>
      <c r="AB9" s="404"/>
      <c r="AC9" s="404"/>
      <c r="AD9" s="404"/>
      <c r="AE9" s="404"/>
      <c r="AF9" s="404"/>
      <c r="AG9" s="405"/>
      <c r="AH9" s="117"/>
    </row>
    <row r="10" spans="1:34" ht="17.7" customHeight="1">
      <c r="A10" s="117"/>
      <c r="B10" s="403"/>
      <c r="C10" s="404"/>
      <c r="D10" s="404"/>
      <c r="E10" s="404"/>
      <c r="F10" s="404"/>
      <c r="G10" s="404"/>
      <c r="H10" s="404"/>
      <c r="I10" s="404"/>
      <c r="J10" s="404"/>
      <c r="K10" s="404"/>
      <c r="L10" s="404"/>
      <c r="M10" s="404"/>
      <c r="N10" s="404"/>
      <c r="O10" s="404"/>
      <c r="P10" s="404"/>
      <c r="Q10" s="404"/>
      <c r="R10" s="404"/>
      <c r="S10" s="404"/>
      <c r="T10" s="404"/>
      <c r="U10" s="404"/>
      <c r="V10" s="404"/>
      <c r="W10" s="404"/>
      <c r="X10" s="404"/>
      <c r="Y10" s="404"/>
      <c r="Z10" s="404"/>
      <c r="AA10" s="404"/>
      <c r="AB10" s="404"/>
      <c r="AC10" s="404"/>
      <c r="AD10" s="404"/>
      <c r="AE10" s="404"/>
      <c r="AF10" s="404"/>
      <c r="AG10" s="405"/>
      <c r="AH10" s="117"/>
    </row>
    <row r="11" spans="1:34" ht="17.7" customHeight="1">
      <c r="A11" s="117"/>
      <c r="B11" s="406"/>
      <c r="C11" s="407"/>
      <c r="D11" s="407"/>
      <c r="E11" s="407"/>
      <c r="F11" s="407"/>
      <c r="G11" s="407"/>
      <c r="H11" s="407"/>
      <c r="I11" s="407"/>
      <c r="J11" s="407"/>
      <c r="K11" s="407"/>
      <c r="L11" s="407"/>
      <c r="M11" s="407"/>
      <c r="N11" s="407"/>
      <c r="O11" s="407"/>
      <c r="P11" s="407"/>
      <c r="Q11" s="407"/>
      <c r="R11" s="407"/>
      <c r="S11" s="407"/>
      <c r="T11" s="407"/>
      <c r="U11" s="407"/>
      <c r="V11" s="407"/>
      <c r="W11" s="407"/>
      <c r="X11" s="407"/>
      <c r="Y11" s="407"/>
      <c r="Z11" s="407"/>
      <c r="AA11" s="407"/>
      <c r="AB11" s="407"/>
      <c r="AC11" s="407"/>
      <c r="AD11" s="407"/>
      <c r="AE11" s="407"/>
      <c r="AF11" s="407"/>
      <c r="AG11" s="408"/>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2024</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5"/>
      <c r="C15" s="336"/>
      <c r="D15" s="336"/>
      <c r="E15" s="336"/>
      <c r="F15" s="336"/>
      <c r="G15" s="336"/>
      <c r="H15" s="336"/>
      <c r="I15" s="336"/>
      <c r="J15" s="336"/>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7"/>
      <c r="AH15" s="117"/>
    </row>
    <row r="16" spans="1:34" ht="17.399999999999999" hidden="1" customHeight="1">
      <c r="A16" s="117"/>
      <c r="B16" s="338"/>
      <c r="C16" s="155" t="s">
        <v>607</v>
      </c>
      <c r="D16" s="339"/>
      <c r="E16" s="339"/>
      <c r="F16" s="339"/>
      <c r="G16" s="339"/>
      <c r="H16" s="155" t="s">
        <v>608</v>
      </c>
      <c r="I16" s="339"/>
      <c r="J16" s="339"/>
      <c r="K16" s="339"/>
      <c r="L16" s="339"/>
      <c r="M16" s="339"/>
      <c r="N16" s="339"/>
      <c r="P16" s="130" t="s">
        <v>609</v>
      </c>
      <c r="Q16" s="131"/>
      <c r="R16" s="130"/>
      <c r="S16" s="131"/>
      <c r="T16" s="132">
        <v>45625</v>
      </c>
      <c r="U16" s="132">
        <f>T16+7</f>
        <v>45632</v>
      </c>
      <c r="V16" s="133" t="s">
        <v>610</v>
      </c>
      <c r="W16" s="339"/>
      <c r="X16" s="156" t="s">
        <v>611</v>
      </c>
      <c r="Y16" s="339"/>
      <c r="Z16" s="339"/>
      <c r="AA16" s="339"/>
      <c r="AB16" s="339"/>
      <c r="AC16" s="339"/>
      <c r="AD16" s="339"/>
      <c r="AE16" s="339"/>
      <c r="AF16" s="339"/>
      <c r="AG16" s="340"/>
      <c r="AH16" s="117"/>
    </row>
    <row r="17" spans="1:34" ht="17.399999999999999" hidden="1" customHeight="1">
      <c r="A17" s="117"/>
      <c r="B17" s="338"/>
      <c r="C17" s="339"/>
      <c r="D17" s="339"/>
      <c r="E17" s="339"/>
      <c r="F17" s="339"/>
      <c r="G17" s="339"/>
      <c r="H17" s="339"/>
      <c r="I17" s="339"/>
      <c r="J17" s="339"/>
      <c r="K17" s="339"/>
      <c r="L17" s="339"/>
      <c r="M17" s="339"/>
      <c r="N17" s="339"/>
      <c r="P17" s="26" t="s">
        <v>612</v>
      </c>
      <c r="T17"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Campo")+COUNTIFS('2. Status Detalhe Campos'!$H$7:$H$574,'1. Status Resumo'!$P87,'2. Status Detalhe Campos'!$C$7:$C$574,'1. Status Resumo'!$G$83,'2. Status Detalhe Campos'!$D$7:$D$574,"2. Campo")+COUNTIFS('2. Status Detalhe Campos'!$H$7:$H$574,'1. Status Resumo'!$P87,'2. Status Detalhe Campos'!$C$7:$C$574,'1. Status Resumo'!$H$83,'2. Status Detalhe Campos'!$D$7:$D$574,"2. Campo")+COUNTIFS(Table4[Status Anterior],'1. Status Resumo'!$P122,Table4[Sub-âmbito],'1. Status Resumo'!$G$118,Table4[Tipo de teste],"2. Campo")</f>
        <v>24</v>
      </c>
      <c r="U17"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Campo")+COUNTIFS('2. Status Detalhe Campos'!$G$7:$G$574,'1. Status Resumo'!$P87,'2. Status Detalhe Campos'!$C$7:$C$574,'1. Status Resumo'!$G$83,'2. Status Detalhe Campos'!$D$7:$D$574,"2. Campo")+COUNTIFS('2. Status Detalhe Campos'!$G$7:$G$574,'1. Status Resumo'!$P87,'2. Status Detalhe Campos'!$C$7:$C$574,'1. Status Resumo'!$H$83,'2. Status Detalhe Campos'!$D$7:$D$574,"2. Campo")+COUNTIFS(Table4[Status Atual],'1. Status Resumo'!$P122,Table4[Sub-âmbito],'1. Status Resumo'!$G$118,Table4[Tipo de teste],"2. Campo")</f>
        <v>24</v>
      </c>
      <c r="V17" s="26">
        <f>U17-T17</f>
        <v>0</v>
      </c>
      <c r="W17" s="339"/>
      <c r="X17" s="429"/>
      <c r="Y17" s="430"/>
      <c r="Z17" s="430"/>
      <c r="AA17" s="430"/>
      <c r="AB17" s="430"/>
      <c r="AC17" s="430"/>
      <c r="AD17" s="430"/>
      <c r="AE17" s="430"/>
      <c r="AF17" s="431"/>
      <c r="AG17" s="340"/>
      <c r="AH17" s="117"/>
    </row>
    <row r="18" spans="1:34" ht="17.399999999999999" hidden="1" customHeight="1">
      <c r="A18" s="117"/>
      <c r="B18" s="338"/>
      <c r="C18" s="339"/>
      <c r="D18" s="339"/>
      <c r="E18" s="339"/>
      <c r="F18" s="339"/>
      <c r="G18" s="339"/>
      <c r="H18" s="339"/>
      <c r="I18" s="339"/>
      <c r="J18" s="339"/>
      <c r="K18" s="339"/>
      <c r="L18" s="339"/>
      <c r="M18" s="339"/>
      <c r="N18" s="339"/>
      <c r="P18" s="26" t="s">
        <v>613</v>
      </c>
      <c r="T18"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Campo")+COUNTIFS('2. Status Detalhe Campos'!$H$7:$H$574,'1. Status Resumo'!$P88,'2. Status Detalhe Campos'!$C$7:$C$574,'1. Status Resumo'!$G$83,'2. Status Detalhe Campos'!$D$7:$D$574,"2. Campo")+COUNTIFS('2. Status Detalhe Campos'!$H$7:$H$574,'1. Status Resumo'!$P88,'2. Status Detalhe Campos'!$C$7:$C$574,'1. Status Resumo'!$H$83,'2. Status Detalhe Campos'!$D$7:$D$574,"2. Campo")+COUNTIFS(Table4[Status Anterior],'1. Status Resumo'!$P123,Table4[Sub-âmbito],'1. Status Resumo'!$G$118,Table4[Tipo de teste],"2. Campo")</f>
        <v>473</v>
      </c>
      <c r="U18"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Campo")+COUNTIFS('2. Status Detalhe Campos'!$G$7:$G$574,'1. Status Resumo'!$P88,'2. Status Detalhe Campos'!$C$7:$C$574,'1. Status Resumo'!$G$83,'2. Status Detalhe Campos'!$D$7:$D$574,"2. Campo")+COUNTIFS('2. Status Detalhe Campos'!$G$7:$G$574,'1. Status Resumo'!$P88,'2. Status Detalhe Campos'!$C$7:$C$574,'1. Status Resumo'!$H$83,'2. Status Detalhe Campos'!$D$7:$D$574,"2. Campo")+COUNTIFS(Table4[Status Atual],'1. Status Resumo'!$P123,Table4[Sub-âmbito],'1. Status Resumo'!$G$118,Table4[Tipo de teste],"2. Campo")</f>
        <v>470</v>
      </c>
      <c r="V18" s="26">
        <f t="shared" ref="V18:V25" si="0">U18-T18</f>
        <v>-3</v>
      </c>
      <c r="W18" s="339"/>
      <c r="X18" s="432"/>
      <c r="Y18" s="433"/>
      <c r="Z18" s="433"/>
      <c r="AA18" s="433"/>
      <c r="AB18" s="433"/>
      <c r="AC18" s="433"/>
      <c r="AD18" s="433"/>
      <c r="AE18" s="433"/>
      <c r="AF18" s="434"/>
      <c r="AG18" s="340"/>
      <c r="AH18" s="117"/>
    </row>
    <row r="19" spans="1:34" ht="17.399999999999999" hidden="1" customHeight="1">
      <c r="A19" s="117"/>
      <c r="B19" s="338"/>
      <c r="C19" s="339"/>
      <c r="D19" s="339"/>
      <c r="E19" s="339"/>
      <c r="F19" s="339"/>
      <c r="G19" s="339"/>
      <c r="H19" s="339"/>
      <c r="I19" s="339"/>
      <c r="J19" s="339"/>
      <c r="K19" s="339"/>
      <c r="L19" s="339"/>
      <c r="M19" s="339"/>
      <c r="N19" s="339"/>
      <c r="P19" s="26" t="s">
        <v>1921</v>
      </c>
      <c r="T19"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Campo")+COUNTIFS('2. Status Detalhe Campos'!$H$7:$H$574,'1. Status Resumo'!$P89,'2. Status Detalhe Campos'!$C$7:$C$574,'1. Status Resumo'!$G$83,'2. Status Detalhe Campos'!$D$7:$D$574,"2. Campo")+COUNTIFS('2. Status Detalhe Campos'!$H$7:$H$574,'1. Status Resumo'!$P89,'2. Status Detalhe Campos'!$C$7:$C$574,'1. Status Resumo'!$H$83,'2. Status Detalhe Campos'!$D$7:$D$574,"2. Campo")+COUNTIFS(Table4[Status Anterior],'1. Status Resumo'!$P124,Table4[Sub-âmbito],'1. Status Resumo'!$G$118,Table4[Tipo de teste],"2. Campo")</f>
        <v>26</v>
      </c>
      <c r="U19"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Campo")+COUNTIFS('2. Status Detalhe Campos'!$G$7:$G$574,'1. Status Resumo'!$P89,'2. Status Detalhe Campos'!$C$7:$C$574,'1. Status Resumo'!$G$83,'2. Status Detalhe Campos'!$D$7:$D$574,"2. Campo")+COUNTIFS('2. Status Detalhe Campos'!$G$7:$G$574,'1. Status Resumo'!$P89,'2. Status Detalhe Campos'!$C$7:$C$574,'1. Status Resumo'!$H$83,'2. Status Detalhe Campos'!$D$7:$D$574,"2. Campo")+COUNTIFS(Table4[Status Atual],'1. Status Resumo'!$P124,Table4[Sub-âmbito],'1. Status Resumo'!$G$118,Table4[Tipo de teste],"2. Campo")</f>
        <v>10</v>
      </c>
      <c r="V19" s="26">
        <f t="shared" si="0"/>
        <v>-16</v>
      </c>
      <c r="W19" s="339"/>
      <c r="X19" s="432"/>
      <c r="Y19" s="433"/>
      <c r="Z19" s="433"/>
      <c r="AA19" s="433"/>
      <c r="AB19" s="433"/>
      <c r="AC19" s="433"/>
      <c r="AD19" s="433"/>
      <c r="AE19" s="433"/>
      <c r="AF19" s="434"/>
      <c r="AG19" s="340"/>
      <c r="AH19" s="117"/>
    </row>
    <row r="20" spans="1:34" ht="17.399999999999999" hidden="1" customHeight="1">
      <c r="A20" s="117"/>
      <c r="B20" s="338"/>
      <c r="C20" s="339"/>
      <c r="D20" s="339"/>
      <c r="E20" s="339"/>
      <c r="F20" s="339"/>
      <c r="G20" s="339"/>
      <c r="H20" s="339"/>
      <c r="I20" s="339"/>
      <c r="J20" s="339"/>
      <c r="K20" s="339"/>
      <c r="L20" s="339"/>
      <c r="M20" s="339"/>
      <c r="N20" s="339"/>
      <c r="P20" s="26" t="s">
        <v>1922</v>
      </c>
      <c r="T20"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Campo")+COUNTIFS('2. Status Detalhe Campos'!$H$7:$H$574,'1. Status Resumo'!$P90,'2. Status Detalhe Campos'!$C$7:$C$574,'1. Status Resumo'!$G$83,'2. Status Detalhe Campos'!$D$7:$D$574,"2. Campo")+COUNTIFS('2. Status Detalhe Campos'!$H$7:$H$574,'1. Status Resumo'!$P90,'2. Status Detalhe Campos'!$C$7:$C$574,'1. Status Resumo'!$H$83,'2. Status Detalhe Campos'!$D$7:$D$574,"2. Campo")+COUNTIFS(Table4[Status Anterior],'1. Status Resumo'!$P125,Table4[Sub-âmbito],'1. Status Resumo'!$G$118,Table4[Tipo de teste],"2. Campo")</f>
        <v>0</v>
      </c>
      <c r="U20"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Campo")+COUNTIFS('2. Status Detalhe Campos'!$G$7:$G$574,'1. Status Resumo'!$P90,'2. Status Detalhe Campos'!$C$7:$C$574,'1. Status Resumo'!$G$83,'2. Status Detalhe Campos'!$D$7:$D$574,"2. Campo")+COUNTIFS('2. Status Detalhe Campos'!$G$7:$G$574,'1. Status Resumo'!$P90,'2. Status Detalhe Campos'!$C$7:$C$574,'1. Status Resumo'!$H$83,'2. Status Detalhe Campos'!$D$7:$D$574,"2. Campo")+COUNTIFS(Table4[Status Atual],'1. Status Resumo'!$P125,Table4[Sub-âmbito],'1. Status Resumo'!$G$118,Table4[Tipo de teste],"2. Campo")</f>
        <v>13</v>
      </c>
      <c r="V20" s="26">
        <f t="shared" si="0"/>
        <v>13</v>
      </c>
      <c r="W20" s="339"/>
      <c r="X20" s="432"/>
      <c r="Y20" s="433"/>
      <c r="Z20" s="433"/>
      <c r="AA20" s="433"/>
      <c r="AB20" s="433"/>
      <c r="AC20" s="433"/>
      <c r="AD20" s="433"/>
      <c r="AE20" s="433"/>
      <c r="AF20" s="434"/>
      <c r="AG20" s="340"/>
      <c r="AH20" s="117"/>
    </row>
    <row r="21" spans="1:34" ht="17.399999999999999" hidden="1" customHeight="1">
      <c r="A21" s="117"/>
      <c r="B21" s="338"/>
      <c r="C21" s="339"/>
      <c r="D21" s="339"/>
      <c r="E21" s="339"/>
      <c r="F21" s="339"/>
      <c r="G21" s="339"/>
      <c r="H21" s="339"/>
      <c r="I21" s="339"/>
      <c r="J21" s="339"/>
      <c r="K21" s="339"/>
      <c r="L21" s="339"/>
      <c r="M21" s="339"/>
      <c r="N21" s="339"/>
      <c r="P21" s="26" t="s">
        <v>614</v>
      </c>
      <c r="T21"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Campo")+COUNTIFS('2. Status Detalhe Campos'!$H$7:$H$574,'1. Status Resumo'!$P91,'2. Status Detalhe Campos'!$C$7:$C$574,'1. Status Resumo'!$G$83,'2. Status Detalhe Campos'!$D$7:$D$574,"2. Campo")+COUNTIFS('2. Status Detalhe Campos'!$H$7:$H$574,'1. Status Resumo'!$P91,'2. Status Detalhe Campos'!$C$7:$C$574,'1. Status Resumo'!$H$83,'2. Status Detalhe Campos'!$D$7:$D$574,"2. Campo")+COUNTIFS(Table4[Status Anterior],'1. Status Resumo'!$P126,Table4[Sub-âmbito],'1. Status Resumo'!$G$118,Table4[Tipo de teste],"2. Campo")</f>
        <v>0</v>
      </c>
      <c r="U21"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Campo")+COUNTIFS('2. Status Detalhe Campos'!$G$7:$G$574,'1. Status Resumo'!$P91,'2. Status Detalhe Campos'!$C$7:$C$574,'1. Status Resumo'!$G$83,'2. Status Detalhe Campos'!$D$7:$D$574,"2. Campo")+COUNTIFS('2. Status Detalhe Campos'!$G$7:$G$574,'1. Status Resumo'!$P91,'2. Status Detalhe Campos'!$C$7:$C$574,'1. Status Resumo'!$H$83,'2. Status Detalhe Campos'!$D$7:$D$574,"2. Campo")+COUNTIFS(Table4[Status Atual],'1. Status Resumo'!$P126,Table4[Sub-âmbito],'1. Status Resumo'!$G$118,Table4[Tipo de teste],"2. Campo")</f>
        <v>10</v>
      </c>
      <c r="V21" s="26">
        <f t="shared" si="0"/>
        <v>10</v>
      </c>
      <c r="W21" s="339"/>
      <c r="X21" s="432"/>
      <c r="Y21" s="433"/>
      <c r="Z21" s="433"/>
      <c r="AA21" s="433"/>
      <c r="AB21" s="433"/>
      <c r="AC21" s="433"/>
      <c r="AD21" s="433"/>
      <c r="AE21" s="433"/>
      <c r="AF21" s="434"/>
      <c r="AG21" s="340"/>
      <c r="AH21" s="117"/>
    </row>
    <row r="22" spans="1:34" ht="17.399999999999999" hidden="1" customHeight="1">
      <c r="A22" s="117"/>
      <c r="B22" s="338"/>
      <c r="C22" s="339"/>
      <c r="D22" s="339"/>
      <c r="E22" s="339"/>
      <c r="F22" s="339"/>
      <c r="G22" s="339"/>
      <c r="H22" s="339"/>
      <c r="I22" s="339"/>
      <c r="J22" s="339"/>
      <c r="K22" s="339"/>
      <c r="L22" s="339"/>
      <c r="M22" s="339"/>
      <c r="N22" s="339"/>
      <c r="P22" s="26" t="s">
        <v>615</v>
      </c>
      <c r="T22"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Campo")+COUNTIFS('2. Status Detalhe Campos'!$H$7:$H$574,'1. Status Resumo'!$P92,'2. Status Detalhe Campos'!$C$7:$C$574,'1. Status Resumo'!$G$83,'2. Status Detalhe Campos'!$D$7:$D$574,"2. Campo")+COUNTIFS('2. Status Detalhe Campos'!$H$7:$H$574,'1. Status Resumo'!$P92,'2. Status Detalhe Campos'!$C$7:$C$574,'1. Status Resumo'!$H$83,'2. Status Detalhe Campos'!$D$7:$D$574,"2. Campo")+COUNTIFS(Table4[Status Anterior],'1. Status Resumo'!$P127,Table4[Sub-âmbito],'1. Status Resumo'!$G$118,Table4[Tipo de teste],"2. Campo")</f>
        <v>3</v>
      </c>
      <c r="U22"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Campo")+COUNTIFS('2. Status Detalhe Campos'!$G$7:$G$574,'1. Status Resumo'!$P92,'2. Status Detalhe Campos'!$C$7:$C$574,'1. Status Resumo'!$G$83,'2. Status Detalhe Campos'!$D$7:$D$574,"2. Campo")+COUNTIFS('2. Status Detalhe Campos'!$G$7:$G$574,'1. Status Resumo'!$P92,'2. Status Detalhe Campos'!$C$7:$C$574,'1. Status Resumo'!$H$83,'2. Status Detalhe Campos'!$D$7:$D$574,"2. Campo")+COUNTIFS(Table4[Status Atual],'1. Status Resumo'!$P127,Table4[Sub-âmbito],'1. Status Resumo'!$G$118,Table4[Tipo de teste],"2. Campo")</f>
        <v>15</v>
      </c>
      <c r="V22" s="26">
        <f t="shared" si="0"/>
        <v>12</v>
      </c>
      <c r="W22" s="339"/>
      <c r="X22" s="432"/>
      <c r="Y22" s="433"/>
      <c r="Z22" s="433"/>
      <c r="AA22" s="433"/>
      <c r="AB22" s="433"/>
      <c r="AC22" s="433"/>
      <c r="AD22" s="433"/>
      <c r="AE22" s="433"/>
      <c r="AF22" s="434"/>
      <c r="AG22" s="340"/>
      <c r="AH22" s="117"/>
    </row>
    <row r="23" spans="1:34" ht="17.399999999999999" hidden="1" customHeight="1">
      <c r="A23" s="117"/>
      <c r="B23" s="338"/>
      <c r="C23" s="339"/>
      <c r="D23" s="339"/>
      <c r="E23" s="339"/>
      <c r="F23" s="339"/>
      <c r="G23" s="339"/>
      <c r="H23" s="339"/>
      <c r="I23" s="339"/>
      <c r="J23" s="339"/>
      <c r="K23" s="339"/>
      <c r="L23" s="339"/>
      <c r="M23" s="339"/>
      <c r="N23" s="339"/>
      <c r="P23" s="26" t="s">
        <v>616</v>
      </c>
      <c r="R23" s="26" t="s">
        <v>617</v>
      </c>
      <c r="T23"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Campo")+COUNTIFS('2. Status Detalhe Campos'!$H$7:$H$574,'1. Status Resumo'!$P93,'2. Status Detalhe Campos'!$C$7:$C$574,'1. Status Resumo'!$G$83,'2. Status Detalhe Campos'!$D$7:$D$574,"2. Campo")+COUNTIFS('2. Status Detalhe Campos'!$H$7:$H$574,'1. Status Resumo'!$P93,'2. Status Detalhe Campos'!$C$7:$C$574,'1. Status Resumo'!$H$83,'2. Status Detalhe Campos'!$D$7:$D$574,"2. Campo")+COUNTIFS(Table4[Status Anterior],'1. Status Resumo'!$P128,Table4[Sub-âmbito],'1. Status Resumo'!$G$118,Table4[Tipo de teste],"2. Campo")</f>
        <v>6</v>
      </c>
      <c r="U23"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Campo")+COUNTIFS('2. Status Detalhe Campos'!$G$7:$G$574,'1. Status Resumo'!$P93,'2. Status Detalhe Campos'!$C$7:$C$574,'1. Status Resumo'!$G$83,'2. Status Detalhe Campos'!$D$7:$D$574,"2. Campo")+COUNTIFS('2. Status Detalhe Campos'!$G$7:$G$574,'1. Status Resumo'!$P93,'2. Status Detalhe Campos'!$C$7:$C$574,'1. Status Resumo'!$H$83,'2. Status Detalhe Campos'!$D$7:$D$574,"2. Campo")+COUNTIFS(Table4[Status Atual],'1. Status Resumo'!$P128,Table4[Sub-âmbito],'1. Status Resumo'!$G$118,Table4[Tipo de teste],"2. Campo")</f>
        <v>1</v>
      </c>
      <c r="V23" s="26">
        <f t="shared" si="0"/>
        <v>-5</v>
      </c>
      <c r="W23" s="339"/>
      <c r="X23" s="432"/>
      <c r="Y23" s="433"/>
      <c r="Z23" s="433"/>
      <c r="AA23" s="433"/>
      <c r="AB23" s="433"/>
      <c r="AC23" s="433"/>
      <c r="AD23" s="433"/>
      <c r="AE23" s="433"/>
      <c r="AF23" s="434"/>
      <c r="AG23" s="340"/>
      <c r="AH23" s="117"/>
    </row>
    <row r="24" spans="1:34" ht="17.399999999999999" hidden="1" customHeight="1">
      <c r="A24" s="117"/>
      <c r="B24" s="338"/>
      <c r="C24" s="339"/>
      <c r="D24" s="339"/>
      <c r="E24" s="339"/>
      <c r="F24" s="339"/>
      <c r="G24" s="339"/>
      <c r="H24" s="339"/>
      <c r="I24" s="339"/>
      <c r="J24" s="339"/>
      <c r="K24" s="339"/>
      <c r="L24" s="339"/>
      <c r="M24" s="339"/>
      <c r="N24" s="339"/>
      <c r="P24" s="26" t="s">
        <v>618</v>
      </c>
      <c r="T24"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Campo")+COUNTIFS('2. Status Detalhe Campos'!$H$7:$H$574,'1. Status Resumo'!$P94,'2. Status Detalhe Campos'!$C$7:$C$574,'1. Status Resumo'!$G$83,'2. Status Detalhe Campos'!$D$7:$D$574,"2. Campo")+COUNTIFS('2. Status Detalhe Campos'!$H$7:$H$574,'1. Status Resumo'!$P94,'2. Status Detalhe Campos'!$C$7:$C$574,'1. Status Resumo'!$H$83,'2. Status Detalhe Campos'!$D$7:$D$574,"2. Campo")+COUNTIFS(Table4[Status Anterior],'1. Status Resumo'!$P129,Table4[Sub-âmbito],'1. Status Resumo'!$G$118,Table4[Tipo de teste],"2. Campo")</f>
        <v>17</v>
      </c>
      <c r="U24"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Campo")+COUNTIFS('2. Status Detalhe Campos'!$G$7:$G$574,'1. Status Resumo'!$P94,'2. Status Detalhe Campos'!$C$7:$C$574,'1. Status Resumo'!$G$83,'2. Status Detalhe Campos'!$D$7:$D$574,"2. Campo")+COUNTIFS('2. Status Detalhe Campos'!$G$7:$G$574,'1. Status Resumo'!$P94,'2. Status Detalhe Campos'!$C$7:$C$574,'1. Status Resumo'!$H$83,'2. Status Detalhe Campos'!$D$7:$D$574,"2. Campo")+COUNTIFS(Table4[Status Atual],'1. Status Resumo'!$P129,Table4[Sub-âmbito],'1. Status Resumo'!$G$118,Table4[Tipo de teste],"2. Campo")</f>
        <v>6</v>
      </c>
      <c r="V24" s="26">
        <f t="shared" si="0"/>
        <v>-11</v>
      </c>
      <c r="W24" s="339"/>
      <c r="X24" s="432"/>
      <c r="Y24" s="433"/>
      <c r="Z24" s="433"/>
      <c r="AA24" s="433"/>
      <c r="AB24" s="433"/>
      <c r="AC24" s="433"/>
      <c r="AD24" s="433"/>
      <c r="AE24" s="433"/>
      <c r="AF24" s="434"/>
      <c r="AG24" s="340"/>
      <c r="AH24" s="117"/>
    </row>
    <row r="25" spans="1:34" ht="17.399999999999999" hidden="1" customHeight="1">
      <c r="A25" s="117"/>
      <c r="B25" s="338"/>
      <c r="C25" s="339"/>
      <c r="D25" s="339"/>
      <c r="E25" s="339"/>
      <c r="F25" s="339"/>
      <c r="G25" s="339"/>
      <c r="H25" s="339"/>
      <c r="I25" s="339"/>
      <c r="J25" s="339"/>
      <c r="K25" s="339"/>
      <c r="L25" s="339"/>
      <c r="M25" s="339"/>
      <c r="N25" s="339"/>
      <c r="P25" s="26" t="s">
        <v>28</v>
      </c>
      <c r="T25"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Campo")+COUNTIFS('2. Status Detalhe Campos'!$H$7:$H$574,'1. Status Resumo'!$P95,'2. Status Detalhe Campos'!$C$7:$C$574,'1. Status Resumo'!$G$83,'2. Status Detalhe Campos'!$D$7:$D$574,"2. Campo")+COUNTIFS('2. Status Detalhe Campos'!$H$7:$H$574,'1. Status Resumo'!$P95,'2. Status Detalhe Campos'!$C$7:$C$574,'1. Status Resumo'!$H$83,'2. Status Detalhe Campos'!$D$7:$D$574,"2. Campo")+COUNTIFS(Table4[Status Anterior],'1. Status Resumo'!$P130,Table4[Sub-âmbito],'1. Status Resumo'!$G$118,Table4[Tipo de teste],"2. Campo")</f>
        <v>0</v>
      </c>
      <c r="U25"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Campo")+COUNTIFS('2. Status Detalhe Campos'!$G$7:$G$574,'1. Status Resumo'!$P95,'2. Status Detalhe Campos'!$C$7:$C$574,'1. Status Resumo'!$G$83,'2. Status Detalhe Campos'!$D$7:$D$574,"2. Campo")+COUNTIFS('2. Status Detalhe Campos'!$G$7:$G$574,'1. Status Resumo'!$P95,'2. Status Detalhe Campos'!$C$7:$C$574,'1. Status Resumo'!$H$83,'2. Status Detalhe Campos'!$D$7:$D$574,"2. Campo")+COUNTIFS(Table4[Status Atual],'1. Status Resumo'!$P130,Table4[Sub-âmbito],'1. Status Resumo'!$G$118,Table4[Tipo de teste],"2. Campo")</f>
        <v>0</v>
      </c>
      <c r="V25" s="26">
        <f t="shared" si="0"/>
        <v>0</v>
      </c>
      <c r="W25" s="339"/>
      <c r="X25" s="432"/>
      <c r="Y25" s="433"/>
      <c r="Z25" s="433"/>
      <c r="AA25" s="433"/>
      <c r="AB25" s="433"/>
      <c r="AC25" s="433"/>
      <c r="AD25" s="433"/>
      <c r="AE25" s="433"/>
      <c r="AF25" s="434"/>
      <c r="AG25" s="340"/>
      <c r="AH25" s="117"/>
    </row>
    <row r="26" spans="1:34" ht="17.399999999999999" hidden="1" customHeight="1">
      <c r="A26" s="117"/>
      <c r="B26" s="338"/>
      <c r="C26" s="339"/>
      <c r="D26" s="339"/>
      <c r="E26" s="339"/>
      <c r="F26" s="339"/>
      <c r="G26" s="339"/>
      <c r="H26" s="339"/>
      <c r="I26" s="339"/>
      <c r="J26" s="339"/>
      <c r="K26" s="339"/>
      <c r="L26" s="339"/>
      <c r="M26" s="339"/>
      <c r="N26" s="339"/>
      <c r="T26" s="128">
        <f>SUM(T17:T25)</f>
        <v>549</v>
      </c>
      <c r="U26" s="128">
        <f>SUM(U17:U25)</f>
        <v>549</v>
      </c>
      <c r="W26" s="339"/>
      <c r="X26" s="435"/>
      <c r="Y26" s="436"/>
      <c r="Z26" s="436"/>
      <c r="AA26" s="436"/>
      <c r="AB26" s="436"/>
      <c r="AC26" s="436"/>
      <c r="AD26" s="436"/>
      <c r="AE26" s="436"/>
      <c r="AF26" s="437"/>
      <c r="AG26" s="340"/>
      <c r="AH26" s="117"/>
    </row>
    <row r="27" spans="1:34" ht="17.399999999999999" hidden="1" customHeight="1">
      <c r="A27" s="117"/>
      <c r="B27" s="338"/>
      <c r="C27" s="341"/>
      <c r="D27" s="341"/>
      <c r="E27" s="339"/>
      <c r="F27" s="339"/>
      <c r="G27" s="341"/>
      <c r="H27" s="341"/>
      <c r="I27" s="341"/>
      <c r="J27" s="341"/>
      <c r="K27" s="341"/>
      <c r="L27" s="341"/>
      <c r="M27" s="341"/>
      <c r="N27" s="341"/>
      <c r="O27" s="341"/>
      <c r="P27" s="339"/>
      <c r="Q27" s="341"/>
      <c r="R27" s="341"/>
      <c r="S27" s="341"/>
      <c r="T27" s="341"/>
      <c r="U27" s="341"/>
      <c r="V27" s="341"/>
      <c r="W27" s="341"/>
      <c r="X27" s="341"/>
      <c r="Y27" s="341"/>
      <c r="Z27" s="341"/>
      <c r="AA27" s="341"/>
      <c r="AB27" s="339"/>
      <c r="AC27" s="341"/>
      <c r="AD27" s="341"/>
      <c r="AE27" s="341"/>
      <c r="AF27" s="341"/>
      <c r="AG27" s="340"/>
      <c r="AH27" s="117"/>
    </row>
    <row r="28" spans="1:34" hidden="1">
      <c r="A28" s="117"/>
      <c r="B28" s="347"/>
      <c r="C28" s="117"/>
      <c r="D28" s="117"/>
      <c r="E28" s="347"/>
      <c r="F28" s="347"/>
      <c r="G28" s="117"/>
      <c r="H28" s="117"/>
      <c r="I28" s="117"/>
      <c r="J28" s="117"/>
      <c r="K28" s="117"/>
      <c r="L28" s="117"/>
      <c r="M28" s="117"/>
      <c r="N28" s="117"/>
      <c r="O28" s="117"/>
      <c r="P28" s="347"/>
      <c r="Q28" s="117"/>
      <c r="R28" s="117"/>
      <c r="S28" s="117"/>
      <c r="T28" s="117"/>
      <c r="U28" s="117"/>
      <c r="V28" s="117"/>
      <c r="W28" s="117"/>
      <c r="X28" s="117"/>
      <c r="Y28" s="117"/>
      <c r="Z28" s="117"/>
      <c r="AA28" s="117"/>
      <c r="AB28" s="347"/>
      <c r="AC28" s="117"/>
      <c r="AD28" s="117"/>
      <c r="AE28" s="117"/>
      <c r="AF28" s="117"/>
      <c r="AG28" s="347"/>
      <c r="AH28" s="117"/>
    </row>
    <row r="29" spans="1:34">
      <c r="A29" s="117"/>
      <c r="B29" s="348"/>
      <c r="C29" s="117"/>
      <c r="D29" s="117"/>
      <c r="E29" s="348"/>
      <c r="F29" s="348"/>
      <c r="G29" s="117"/>
      <c r="H29" s="117"/>
      <c r="I29" s="117"/>
      <c r="J29" s="117"/>
      <c r="K29" s="117"/>
      <c r="L29" s="117"/>
      <c r="M29" s="117"/>
      <c r="N29" s="117"/>
      <c r="O29" s="117"/>
      <c r="P29" s="348"/>
      <c r="Q29" s="117"/>
      <c r="R29" s="117"/>
      <c r="S29" s="117"/>
      <c r="T29" s="117"/>
      <c r="U29" s="117"/>
      <c r="V29" s="117"/>
      <c r="W29" s="117"/>
      <c r="X29" s="117"/>
      <c r="Y29" s="117"/>
      <c r="Z29" s="117"/>
      <c r="AA29" s="117"/>
      <c r="AB29" s="348"/>
      <c r="AC29" s="117"/>
      <c r="AD29" s="117"/>
      <c r="AE29" s="117"/>
      <c r="AF29" s="117"/>
      <c r="AG29" s="348"/>
      <c r="AH29" s="117"/>
    </row>
    <row r="30" spans="1:34" ht="22.2">
      <c r="A30" s="117"/>
      <c r="B30" s="127" t="s">
        <v>2031</v>
      </c>
      <c r="C30" s="117"/>
      <c r="D30" s="117"/>
      <c r="E30" s="348"/>
      <c r="F30" s="348"/>
      <c r="G30" s="117"/>
      <c r="H30" s="117"/>
      <c r="I30" s="117"/>
      <c r="J30" s="117"/>
      <c r="K30" s="117"/>
      <c r="L30" s="117"/>
      <c r="M30" s="117"/>
      <c r="N30" s="117"/>
      <c r="O30" s="117"/>
      <c r="P30" s="348"/>
      <c r="Q30" s="117"/>
      <c r="R30" s="117"/>
      <c r="S30" s="117"/>
      <c r="T30" s="117"/>
      <c r="U30" s="117"/>
      <c r="V30" s="117"/>
      <c r="W30" s="117"/>
      <c r="X30" s="117"/>
      <c r="Y30" s="117"/>
      <c r="Z30" s="117"/>
      <c r="AA30" s="117"/>
      <c r="AB30" s="348"/>
      <c r="AC30" s="117"/>
      <c r="AD30" s="117"/>
      <c r="AE30" s="117"/>
      <c r="AF30" s="117"/>
      <c r="AG30" s="348"/>
      <c r="AH30" s="117"/>
    </row>
    <row r="31" spans="1:34" ht="3.6" customHeight="1">
      <c r="A31" s="117"/>
      <c r="B31" s="348"/>
      <c r="C31" s="117"/>
      <c r="D31" s="117"/>
      <c r="E31" s="348"/>
      <c r="F31" s="348"/>
      <c r="G31" s="117"/>
      <c r="H31" s="117"/>
      <c r="I31" s="117"/>
      <c r="J31" s="117"/>
      <c r="K31" s="117"/>
      <c r="L31" s="117"/>
      <c r="M31" s="117"/>
      <c r="N31" s="117"/>
      <c r="O31" s="117"/>
      <c r="P31" s="348"/>
      <c r="Q31" s="117"/>
      <c r="R31" s="117"/>
      <c r="S31" s="117"/>
      <c r="T31" s="117"/>
      <c r="U31" s="117"/>
      <c r="V31" s="117"/>
      <c r="W31" s="117"/>
      <c r="X31" s="117"/>
      <c r="Y31" s="117"/>
      <c r="Z31" s="117"/>
      <c r="AA31" s="117"/>
      <c r="AB31" s="348"/>
      <c r="AC31" s="117"/>
      <c r="AD31" s="117"/>
      <c r="AE31" s="117"/>
      <c r="AF31" s="117"/>
      <c r="AG31" s="348"/>
      <c r="AH31" s="117"/>
    </row>
    <row r="32" spans="1:34">
      <c r="A32" s="117"/>
      <c r="B32" s="349"/>
      <c r="C32" s="350"/>
      <c r="D32" s="350"/>
      <c r="E32" s="350"/>
      <c r="F32" s="350"/>
      <c r="G32" s="350"/>
      <c r="H32" s="350"/>
      <c r="I32" s="350"/>
      <c r="J32" s="350"/>
      <c r="K32" s="350"/>
      <c r="L32" s="350"/>
      <c r="M32" s="350"/>
      <c r="N32" s="350"/>
      <c r="O32" s="350"/>
      <c r="P32" s="350"/>
      <c r="Q32" s="350"/>
      <c r="R32" s="350"/>
      <c r="S32" s="350"/>
      <c r="T32" s="350"/>
      <c r="U32" s="350"/>
      <c r="V32" s="350"/>
      <c r="W32" s="350"/>
      <c r="X32" s="350"/>
      <c r="Y32" s="350"/>
      <c r="Z32" s="350"/>
      <c r="AA32" s="350"/>
      <c r="AB32" s="350"/>
      <c r="AC32" s="350"/>
      <c r="AD32" s="350"/>
      <c r="AE32" s="350"/>
      <c r="AF32" s="350"/>
      <c r="AG32" s="351"/>
      <c r="AH32" s="117"/>
    </row>
    <row r="33" spans="1:34">
      <c r="A33" s="117"/>
      <c r="B33" s="352"/>
      <c r="C33" s="353"/>
      <c r="D33" s="353"/>
      <c r="E33" s="353"/>
      <c r="F33" s="353"/>
      <c r="G33" s="353"/>
      <c r="H33" s="353"/>
      <c r="I33" s="353"/>
      <c r="J33" s="353"/>
      <c r="K33" s="353"/>
      <c r="L33" s="353"/>
      <c r="M33" s="353"/>
      <c r="N33" s="353"/>
      <c r="O33" s="353"/>
      <c r="P33" s="353"/>
      <c r="Q33" s="353"/>
      <c r="R33" s="353"/>
      <c r="S33" s="353"/>
      <c r="T33" s="353"/>
      <c r="U33" s="353"/>
      <c r="V33" s="353"/>
      <c r="W33" s="353"/>
      <c r="X33" s="353"/>
      <c r="Y33" s="353"/>
      <c r="Z33" s="353"/>
      <c r="AA33" s="353"/>
      <c r="AB33" s="353"/>
      <c r="AC33" s="353"/>
      <c r="AD33" s="353"/>
      <c r="AE33" s="353"/>
      <c r="AF33" s="353"/>
      <c r="AG33" s="354"/>
      <c r="AH33" s="117"/>
    </row>
    <row r="34" spans="1:34" s="448" customFormat="1">
      <c r="A34" s="117"/>
      <c r="B34" s="352"/>
      <c r="C34" s="353"/>
      <c r="D34" s="353"/>
      <c r="E34" s="353"/>
      <c r="F34" s="353"/>
      <c r="G34" s="353"/>
      <c r="H34" s="353"/>
      <c r="I34" s="353"/>
      <c r="J34" s="353"/>
      <c r="K34" s="353"/>
      <c r="L34" s="353"/>
      <c r="M34" s="353"/>
      <c r="N34" s="353"/>
      <c r="O34" s="353"/>
      <c r="P34" s="353"/>
      <c r="Q34" s="353"/>
      <c r="R34" s="353"/>
      <c r="S34" s="353"/>
      <c r="T34" s="353"/>
      <c r="U34" s="353"/>
      <c r="V34" s="353"/>
      <c r="W34" s="353"/>
      <c r="X34" s="156" t="s">
        <v>611</v>
      </c>
      <c r="Y34" s="26"/>
      <c r="Z34" s="26"/>
      <c r="AA34" s="26"/>
      <c r="AB34" s="26"/>
      <c r="AC34" s="26"/>
      <c r="AD34" s="26"/>
      <c r="AE34" s="26"/>
      <c r="AF34" s="384"/>
      <c r="AG34" s="353"/>
      <c r="AH34" s="447"/>
    </row>
    <row r="35" spans="1:34" s="348" customFormat="1" ht="17.399999999999999" customHeight="1">
      <c r="A35" s="117"/>
      <c r="B35" s="352"/>
      <c r="C35" s="358"/>
      <c r="D35" s="359" t="s">
        <v>2039</v>
      </c>
      <c r="E35" s="359" t="s">
        <v>2040</v>
      </c>
      <c r="F35" s="359" t="s">
        <v>2041</v>
      </c>
      <c r="G35" s="360" t="s">
        <v>2032</v>
      </c>
      <c r="H35" s="372">
        <v>45660</v>
      </c>
      <c r="I35" s="372">
        <v>45667</v>
      </c>
      <c r="J35" s="383">
        <v>45667</v>
      </c>
      <c r="K35" s="372">
        <v>45674</v>
      </c>
      <c r="L35" s="383">
        <v>45674</v>
      </c>
      <c r="M35" s="372">
        <v>45678</v>
      </c>
      <c r="N35" s="360" t="s">
        <v>2036</v>
      </c>
      <c r="O35" s="353"/>
      <c r="P35" s="353"/>
      <c r="Q35" s="353"/>
      <c r="R35" s="353"/>
      <c r="S35" s="387"/>
      <c r="T35" s="387"/>
      <c r="U35" s="452"/>
      <c r="V35" s="450" t="s">
        <v>2054</v>
      </c>
      <c r="W35" s="450"/>
      <c r="X35" s="438" t="s">
        <v>2074</v>
      </c>
      <c r="Y35" s="439"/>
      <c r="Z35" s="439"/>
      <c r="AA35" s="439"/>
      <c r="AB35" s="439"/>
      <c r="AC35" s="439"/>
      <c r="AD35" s="439"/>
      <c r="AE35" s="439"/>
      <c r="AF35" s="440"/>
      <c r="AG35" s="449"/>
      <c r="AH35" s="447"/>
    </row>
    <row r="36" spans="1:34" s="348" customFormat="1">
      <c r="A36" s="117"/>
      <c r="B36" s="352"/>
      <c r="C36" s="359" t="s">
        <v>2034</v>
      </c>
      <c r="D36" s="361">
        <f>T72</f>
        <v>169</v>
      </c>
      <c r="E36" s="361">
        <f>T64</f>
        <v>146</v>
      </c>
      <c r="F36" s="361">
        <f>T63</f>
        <v>10</v>
      </c>
      <c r="G36" s="362">
        <f>D36-E36-F36</f>
        <v>13</v>
      </c>
      <c r="H36" s="361">
        <v>0</v>
      </c>
      <c r="I36" s="361">
        <v>13</v>
      </c>
      <c r="J36" s="361">
        <v>1</v>
      </c>
      <c r="K36" s="361">
        <v>0</v>
      </c>
      <c r="L36" s="361">
        <v>0</v>
      </c>
      <c r="M36" s="361">
        <v>0</v>
      </c>
      <c r="N36" s="362">
        <f>SUM(J36:M36)</f>
        <v>1</v>
      </c>
      <c r="O36" s="353"/>
      <c r="P36" s="353"/>
      <c r="Q36" s="353"/>
      <c r="R36" s="353"/>
      <c r="S36" s="387"/>
      <c r="T36" s="387"/>
      <c r="U36" s="452"/>
      <c r="V36" s="450"/>
      <c r="W36" s="450"/>
      <c r="X36" s="441"/>
      <c r="Y36" s="442"/>
      <c r="Z36" s="442"/>
      <c r="AA36" s="442"/>
      <c r="AB36" s="442"/>
      <c r="AC36" s="442"/>
      <c r="AD36" s="442"/>
      <c r="AE36" s="442"/>
      <c r="AF36" s="443"/>
      <c r="AG36" s="449"/>
      <c r="AH36" s="447"/>
    </row>
    <row r="37" spans="1:34" s="348" customFormat="1">
      <c r="A37" s="117"/>
      <c r="B37" s="352"/>
      <c r="C37" s="359" t="s">
        <v>2035</v>
      </c>
      <c r="D37" s="361">
        <f>T96</f>
        <v>245</v>
      </c>
      <c r="E37" s="361">
        <f>T88</f>
        <v>209</v>
      </c>
      <c r="F37" s="361">
        <f>T87</f>
        <v>14</v>
      </c>
      <c r="G37" s="362">
        <f>D37-E37-F37</f>
        <v>22</v>
      </c>
      <c r="H37" s="361">
        <v>0</v>
      </c>
      <c r="I37" s="361">
        <v>5</v>
      </c>
      <c r="J37" s="361">
        <v>2</v>
      </c>
      <c r="K37" s="361">
        <f>4+12</f>
        <v>16</v>
      </c>
      <c r="L37" s="361">
        <f>4+12</f>
        <v>16</v>
      </c>
      <c r="M37" s="361" t="s">
        <v>1951</v>
      </c>
      <c r="N37" s="363">
        <f>SUM(J37:M37)</f>
        <v>34</v>
      </c>
      <c r="O37" s="353"/>
      <c r="P37" s="353"/>
      <c r="Q37" s="353"/>
      <c r="R37" s="353"/>
      <c r="S37" s="387"/>
      <c r="T37" s="387"/>
      <c r="U37" s="452"/>
      <c r="V37" s="450"/>
      <c r="W37" s="450"/>
      <c r="X37" s="441"/>
      <c r="Y37" s="442"/>
      <c r="Z37" s="442"/>
      <c r="AA37" s="442"/>
      <c r="AB37" s="442"/>
      <c r="AC37" s="442"/>
      <c r="AD37" s="442"/>
      <c r="AE37" s="442"/>
      <c r="AF37" s="443"/>
      <c r="AG37" s="449"/>
      <c r="AH37" s="447"/>
    </row>
    <row r="38" spans="1:34" s="348" customFormat="1" ht="18" thickBot="1">
      <c r="A38" s="117"/>
      <c r="B38" s="352"/>
      <c r="C38" s="359" t="s">
        <v>26</v>
      </c>
      <c r="D38" s="361">
        <f>T131</f>
        <v>135</v>
      </c>
      <c r="E38" s="361">
        <f>T123</f>
        <v>118</v>
      </c>
      <c r="F38" s="361">
        <f>T122</f>
        <v>0</v>
      </c>
      <c r="G38" s="362">
        <f>D38-E38-F38</f>
        <v>17</v>
      </c>
      <c r="H38" s="361">
        <v>0</v>
      </c>
      <c r="I38" s="361">
        <v>14</v>
      </c>
      <c r="J38" s="361">
        <v>11</v>
      </c>
      <c r="K38" s="361">
        <v>3</v>
      </c>
      <c r="L38" s="361">
        <v>3</v>
      </c>
      <c r="M38" s="361">
        <v>0</v>
      </c>
      <c r="N38" s="362">
        <f>SUM(J38:M38)</f>
        <v>17</v>
      </c>
      <c r="O38" s="353"/>
      <c r="P38" s="353"/>
      <c r="Q38" s="353"/>
      <c r="R38" s="353"/>
      <c r="S38" s="387"/>
      <c r="T38" s="387"/>
      <c r="U38" s="452"/>
      <c r="V38" s="450"/>
      <c r="W38" s="450"/>
      <c r="X38" s="441"/>
      <c r="Y38" s="442"/>
      <c r="Z38" s="442"/>
      <c r="AA38" s="442"/>
      <c r="AB38" s="442"/>
      <c r="AC38" s="442"/>
      <c r="AD38" s="442"/>
      <c r="AE38" s="442"/>
      <c r="AF38" s="443"/>
      <c r="AG38" s="449"/>
      <c r="AH38" s="447"/>
    </row>
    <row r="39" spans="1:34" s="348" customFormat="1" ht="18" thickBot="1">
      <c r="A39" s="117"/>
      <c r="B39" s="352"/>
      <c r="C39" s="364" t="s">
        <v>2033</v>
      </c>
      <c r="D39" s="365">
        <f>SUM(D36:D38)</f>
        <v>549</v>
      </c>
      <c r="E39" s="365">
        <f>SUM(E36:E38)</f>
        <v>473</v>
      </c>
      <c r="F39" s="365">
        <f>SUM(F36:F38)</f>
        <v>24</v>
      </c>
      <c r="G39" s="366">
        <f>SUM(G36:G38)</f>
        <v>52</v>
      </c>
      <c r="H39" s="365">
        <v>0</v>
      </c>
      <c r="I39" s="365">
        <f>SUM(I36:I38)</f>
        <v>32</v>
      </c>
      <c r="J39" s="365">
        <f>SUM(J36:J38)</f>
        <v>14</v>
      </c>
      <c r="K39" s="365">
        <f>SUM(K36:K38)</f>
        <v>19</v>
      </c>
      <c r="L39" s="365">
        <f>SUM(L36:L38)</f>
        <v>19</v>
      </c>
      <c r="M39" s="365">
        <v>0</v>
      </c>
      <c r="N39" s="366">
        <f>SUM(N36:N38)</f>
        <v>52</v>
      </c>
      <c r="O39" s="353"/>
      <c r="P39" s="353"/>
      <c r="Q39" s="353"/>
      <c r="R39" s="353"/>
      <c r="S39" s="387"/>
      <c r="T39" s="387"/>
      <c r="U39" s="452"/>
      <c r="V39" s="450"/>
      <c r="W39" s="450"/>
      <c r="X39" s="441"/>
      <c r="Y39" s="442"/>
      <c r="Z39" s="442"/>
      <c r="AA39" s="442"/>
      <c r="AB39" s="442"/>
      <c r="AC39" s="442"/>
      <c r="AD39" s="442"/>
      <c r="AE39" s="442"/>
      <c r="AF39" s="443"/>
      <c r="AG39" s="449"/>
      <c r="AH39" s="447"/>
    </row>
    <row r="40" spans="1:34" s="348" customFormat="1">
      <c r="A40" s="117"/>
      <c r="B40" s="352"/>
      <c r="C40" s="353" t="s">
        <v>13</v>
      </c>
      <c r="D40" s="353"/>
      <c r="E40" s="367">
        <f>E39/$D$39</f>
        <v>0.86156648451730422</v>
      </c>
      <c r="F40" s="367">
        <f>F39/$D$39</f>
        <v>4.3715846994535519E-2</v>
      </c>
      <c r="G40" s="367">
        <f>G39/$D$39</f>
        <v>9.4717668488160295E-2</v>
      </c>
      <c r="H40" s="353"/>
      <c r="I40" s="353"/>
      <c r="J40" s="353"/>
      <c r="K40" s="353"/>
      <c r="L40" s="353"/>
      <c r="M40" s="353"/>
      <c r="N40" s="353"/>
      <c r="O40" s="353"/>
      <c r="P40" s="353"/>
      <c r="Q40" s="353"/>
      <c r="R40" s="353"/>
      <c r="S40" s="353"/>
      <c r="T40" s="382"/>
      <c r="U40" s="382"/>
      <c r="V40" s="451"/>
      <c r="W40" s="451"/>
      <c r="X40" s="441"/>
      <c r="Y40" s="442"/>
      <c r="Z40" s="442"/>
      <c r="AA40" s="442"/>
      <c r="AB40" s="442"/>
      <c r="AC40" s="442"/>
      <c r="AD40" s="442"/>
      <c r="AE40" s="442"/>
      <c r="AF40" s="443"/>
      <c r="AG40" s="449"/>
      <c r="AH40" s="447"/>
    </row>
    <row r="41" spans="1:34">
      <c r="A41" s="117"/>
      <c r="B41" s="352"/>
      <c r="C41" s="368" t="s">
        <v>2037</v>
      </c>
      <c r="D41" s="353"/>
      <c r="E41" s="369">
        <f>E39/($D$39-$F$39)</f>
        <v>0.90095238095238095</v>
      </c>
      <c r="F41" s="370" t="s">
        <v>2038</v>
      </c>
      <c r="G41" s="369">
        <f>G39/($D$39-$F$39)</f>
        <v>9.9047619047619051E-2</v>
      </c>
      <c r="H41" s="353"/>
      <c r="I41" s="353"/>
      <c r="J41" s="353"/>
      <c r="K41" s="353"/>
      <c r="L41" s="353"/>
      <c r="M41" s="353"/>
      <c r="N41" s="353"/>
      <c r="O41" s="353"/>
      <c r="P41" s="353"/>
      <c r="Q41" s="353"/>
      <c r="R41" s="353"/>
      <c r="S41" s="353"/>
      <c r="T41" s="382"/>
      <c r="U41" s="382"/>
      <c r="V41" s="451"/>
      <c r="W41" s="451"/>
      <c r="X41" s="441"/>
      <c r="Y41" s="442"/>
      <c r="Z41" s="442"/>
      <c r="AA41" s="442"/>
      <c r="AB41" s="442"/>
      <c r="AC41" s="442"/>
      <c r="AD41" s="442"/>
      <c r="AE41" s="442"/>
      <c r="AF41" s="443"/>
      <c r="AG41" s="386"/>
      <c r="AH41" s="348"/>
    </row>
    <row r="42" spans="1:34">
      <c r="A42" s="117"/>
      <c r="B42" s="352"/>
      <c r="C42" s="353"/>
      <c r="D42" s="353"/>
      <c r="E42" s="353"/>
      <c r="F42" s="353"/>
      <c r="G42" s="353"/>
      <c r="H42" s="353"/>
      <c r="I42" s="353"/>
      <c r="J42" s="353"/>
      <c r="K42" s="353"/>
      <c r="L42" s="353"/>
      <c r="M42" s="353"/>
      <c r="N42" s="353"/>
      <c r="O42" s="353"/>
      <c r="P42" s="353"/>
      <c r="Q42" s="353"/>
      <c r="R42" s="353"/>
      <c r="S42" s="353"/>
      <c r="T42" s="382"/>
      <c r="U42" s="382"/>
      <c r="V42" s="451"/>
      <c r="W42" s="451"/>
      <c r="X42" s="441"/>
      <c r="Y42" s="442"/>
      <c r="Z42" s="442"/>
      <c r="AA42" s="442"/>
      <c r="AB42" s="442"/>
      <c r="AC42" s="442"/>
      <c r="AD42" s="442"/>
      <c r="AE42" s="442"/>
      <c r="AF42" s="443"/>
      <c r="AG42" s="386"/>
      <c r="AH42" s="348"/>
    </row>
    <row r="43" spans="1:34">
      <c r="A43" s="117"/>
      <c r="B43" s="352"/>
      <c r="C43" s="353"/>
      <c r="D43" s="353"/>
      <c r="E43" s="353"/>
      <c r="F43" s="353"/>
      <c r="G43" s="353"/>
      <c r="H43" s="353"/>
      <c r="I43" s="353"/>
      <c r="J43" s="353"/>
      <c r="K43" s="353"/>
      <c r="L43" s="353"/>
      <c r="M43" s="353"/>
      <c r="N43" s="353"/>
      <c r="O43" s="353"/>
      <c r="P43" s="353"/>
      <c r="Q43" s="353"/>
      <c r="R43" s="353"/>
      <c r="S43" s="353"/>
      <c r="T43" s="382"/>
      <c r="U43" s="382"/>
      <c r="V43" s="451"/>
      <c r="W43" s="451"/>
      <c r="X43" s="441"/>
      <c r="Y43" s="442"/>
      <c r="Z43" s="442"/>
      <c r="AA43" s="442"/>
      <c r="AB43" s="442"/>
      <c r="AC43" s="442"/>
      <c r="AD43" s="442"/>
      <c r="AE43" s="442"/>
      <c r="AF43" s="443"/>
      <c r="AG43" s="386"/>
      <c r="AH43" s="348"/>
    </row>
    <row r="44" spans="1:34">
      <c r="A44" s="117"/>
      <c r="B44" s="352"/>
      <c r="C44" s="358"/>
      <c r="D44" s="359" t="s">
        <v>2039</v>
      </c>
      <c r="E44" s="359" t="s">
        <v>2040</v>
      </c>
      <c r="F44" s="359" t="s">
        <v>2041</v>
      </c>
      <c r="G44" s="360" t="s">
        <v>2032</v>
      </c>
      <c r="H44" s="372">
        <v>45660</v>
      </c>
      <c r="I44" s="372">
        <v>45667</v>
      </c>
      <c r="J44" s="372">
        <v>45674</v>
      </c>
      <c r="K44" s="372"/>
      <c r="L44" s="372">
        <v>45678</v>
      </c>
      <c r="M44" s="371" t="s">
        <v>2036</v>
      </c>
      <c r="N44" s="353"/>
      <c r="O44" s="353"/>
      <c r="P44" s="353"/>
      <c r="Q44" s="353"/>
      <c r="R44" s="382"/>
      <c r="S44" s="382"/>
      <c r="T44" s="382"/>
      <c r="U44" s="387"/>
      <c r="V44" s="385"/>
      <c r="W44" s="385"/>
      <c r="X44" s="441"/>
      <c r="Y44" s="442"/>
      <c r="Z44" s="442"/>
      <c r="AA44" s="442"/>
      <c r="AB44" s="442"/>
      <c r="AC44" s="442"/>
      <c r="AD44" s="442"/>
      <c r="AE44" s="442"/>
      <c r="AF44" s="443"/>
      <c r="AG44" s="386"/>
      <c r="AH44" s="117"/>
    </row>
    <row r="45" spans="1:34">
      <c r="A45" s="117"/>
      <c r="B45" s="352"/>
      <c r="C45" s="359" t="s">
        <v>2034</v>
      </c>
      <c r="D45" s="361">
        <f>U72</f>
        <v>169</v>
      </c>
      <c r="E45" s="361">
        <f>U64</f>
        <v>147</v>
      </c>
      <c r="F45" s="361">
        <f>U63</f>
        <v>10</v>
      </c>
      <c r="G45" s="362">
        <f>D45-E45-F45</f>
        <v>12</v>
      </c>
      <c r="H45" s="361">
        <v>0</v>
      </c>
      <c r="I45" s="361">
        <v>13</v>
      </c>
      <c r="J45" s="361">
        <v>0</v>
      </c>
      <c r="K45" s="361"/>
      <c r="L45" s="361">
        <v>0</v>
      </c>
      <c r="M45" s="362">
        <f>SUM(H45:L45)</f>
        <v>13</v>
      </c>
      <c r="N45" s="353"/>
      <c r="O45" s="353"/>
      <c r="P45" s="353"/>
      <c r="Q45" s="353"/>
      <c r="R45" s="382"/>
      <c r="S45" s="382"/>
      <c r="T45" s="382"/>
      <c r="U45" s="387"/>
      <c r="V45" s="385"/>
      <c r="W45" s="385"/>
      <c r="X45" s="441"/>
      <c r="Y45" s="442"/>
      <c r="Z45" s="442"/>
      <c r="AA45" s="442"/>
      <c r="AB45" s="442"/>
      <c r="AC45" s="442"/>
      <c r="AD45" s="442"/>
      <c r="AE45" s="442"/>
      <c r="AF45" s="443"/>
      <c r="AG45" s="386"/>
      <c r="AH45" s="117"/>
    </row>
    <row r="46" spans="1:34">
      <c r="A46" s="117"/>
      <c r="B46" s="352"/>
      <c r="C46" s="359" t="s">
        <v>2035</v>
      </c>
      <c r="D46" s="361">
        <f>U96</f>
        <v>245</v>
      </c>
      <c r="E46" s="361">
        <f>U88</f>
        <v>204</v>
      </c>
      <c r="F46" s="361">
        <f>U87</f>
        <v>14</v>
      </c>
      <c r="G46" s="362">
        <f>D46-E46-F46</f>
        <v>27</v>
      </c>
      <c r="H46" s="361">
        <v>0</v>
      </c>
      <c r="I46" s="361">
        <v>5</v>
      </c>
      <c r="J46" s="361">
        <f>4+12</f>
        <v>16</v>
      </c>
      <c r="K46" s="361"/>
      <c r="L46" s="361" t="s">
        <v>1951</v>
      </c>
      <c r="M46" s="363">
        <f>SUM(H46:L46)</f>
        <v>21</v>
      </c>
      <c r="N46" s="353"/>
      <c r="O46" s="353"/>
      <c r="P46" s="353"/>
      <c r="Q46" s="353"/>
      <c r="R46" s="382"/>
      <c r="S46" s="382"/>
      <c r="T46" s="382"/>
      <c r="U46" s="387"/>
      <c r="V46" s="385"/>
      <c r="W46" s="385"/>
      <c r="X46" s="441"/>
      <c r="Y46" s="442"/>
      <c r="Z46" s="442"/>
      <c r="AA46" s="442"/>
      <c r="AB46" s="442"/>
      <c r="AC46" s="442"/>
      <c r="AD46" s="442"/>
      <c r="AE46" s="442"/>
      <c r="AF46" s="443"/>
      <c r="AG46" s="386"/>
      <c r="AH46" s="117"/>
    </row>
    <row r="47" spans="1:34" ht="18" thickBot="1">
      <c r="A47" s="117"/>
      <c r="B47" s="352"/>
      <c r="C47" s="359" t="s">
        <v>26</v>
      </c>
      <c r="D47" s="361">
        <f>U131</f>
        <v>135</v>
      </c>
      <c r="E47" s="361">
        <f>U123</f>
        <v>119</v>
      </c>
      <c r="F47" s="361">
        <f>U122</f>
        <v>0</v>
      </c>
      <c r="G47" s="362">
        <f>D47-E47-F47</f>
        <v>16</v>
      </c>
      <c r="H47" s="361">
        <v>0</v>
      </c>
      <c r="I47" s="361">
        <v>14</v>
      </c>
      <c r="J47" s="361">
        <v>3</v>
      </c>
      <c r="K47" s="361"/>
      <c r="L47" s="361">
        <v>0</v>
      </c>
      <c r="M47" s="362">
        <f>SUM(H47:L47)</f>
        <v>17</v>
      </c>
      <c r="N47" s="353"/>
      <c r="O47" s="353"/>
      <c r="P47" s="353"/>
      <c r="Q47" s="353"/>
      <c r="R47" s="382"/>
      <c r="S47" s="382"/>
      <c r="T47" s="382"/>
      <c r="U47" s="387"/>
      <c r="V47" s="385"/>
      <c r="W47" s="385"/>
      <c r="X47" s="441"/>
      <c r="Y47" s="442"/>
      <c r="Z47" s="442"/>
      <c r="AA47" s="442"/>
      <c r="AB47" s="442"/>
      <c r="AC47" s="442"/>
      <c r="AD47" s="442"/>
      <c r="AE47" s="442"/>
      <c r="AF47" s="443"/>
      <c r="AG47" s="386"/>
      <c r="AH47" s="117"/>
    </row>
    <row r="48" spans="1:34" ht="18" thickBot="1">
      <c r="A48" s="117"/>
      <c r="B48" s="352"/>
      <c r="C48" s="364" t="s">
        <v>2033</v>
      </c>
      <c r="D48" s="365">
        <f t="shared" ref="D48:J48" si="1">SUM(D45:D47)</f>
        <v>549</v>
      </c>
      <c r="E48" s="365">
        <f t="shared" si="1"/>
        <v>470</v>
      </c>
      <c r="F48" s="365">
        <f t="shared" si="1"/>
        <v>24</v>
      </c>
      <c r="G48" s="366">
        <f t="shared" si="1"/>
        <v>55</v>
      </c>
      <c r="H48" s="365">
        <f t="shared" si="1"/>
        <v>0</v>
      </c>
      <c r="I48" s="365">
        <f t="shared" si="1"/>
        <v>32</v>
      </c>
      <c r="J48" s="365">
        <f t="shared" si="1"/>
        <v>19</v>
      </c>
      <c r="K48" s="365"/>
      <c r="L48" s="365">
        <v>0</v>
      </c>
      <c r="M48" s="366">
        <f>SUM(M45:M47)</f>
        <v>51</v>
      </c>
      <c r="N48" s="353"/>
      <c r="O48" s="353"/>
      <c r="P48" s="353"/>
      <c r="Q48" s="353"/>
      <c r="R48" s="382"/>
      <c r="S48" s="382"/>
      <c r="T48" s="382"/>
      <c r="U48" s="387"/>
      <c r="V48" s="385"/>
      <c r="W48" s="385"/>
      <c r="X48" s="441"/>
      <c r="Y48" s="442"/>
      <c r="Z48" s="442"/>
      <c r="AA48" s="442"/>
      <c r="AB48" s="442"/>
      <c r="AC48" s="442"/>
      <c r="AD48" s="442"/>
      <c r="AE48" s="442"/>
      <c r="AF48" s="443"/>
      <c r="AG48" s="386"/>
      <c r="AH48" s="117"/>
    </row>
    <row r="49" spans="1:34">
      <c r="A49" s="117"/>
      <c r="B49" s="352"/>
      <c r="C49" s="353" t="s">
        <v>13</v>
      </c>
      <c r="D49" s="353"/>
      <c r="E49" s="367">
        <f>E48/$D$48</f>
        <v>0.85610200364298727</v>
      </c>
      <c r="F49" s="367">
        <f>F48/$D$48</f>
        <v>4.3715846994535519E-2</v>
      </c>
      <c r="G49" s="367">
        <f>G48/$D$48</f>
        <v>0.10018214936247723</v>
      </c>
      <c r="H49" s="353"/>
      <c r="I49" s="353"/>
      <c r="J49" s="353"/>
      <c r="K49" s="353"/>
      <c r="L49" s="353"/>
      <c r="M49" s="353"/>
      <c r="N49" s="353"/>
      <c r="O49" s="353"/>
      <c r="P49" s="353"/>
      <c r="Q49" s="353"/>
      <c r="R49" s="353"/>
      <c r="S49" s="353"/>
      <c r="T49" s="382"/>
      <c r="U49" s="353"/>
      <c r="V49" s="387"/>
      <c r="W49" s="387"/>
      <c r="X49" s="441"/>
      <c r="Y49" s="442"/>
      <c r="Z49" s="442"/>
      <c r="AA49" s="442"/>
      <c r="AB49" s="442"/>
      <c r="AC49" s="442"/>
      <c r="AD49" s="442"/>
      <c r="AE49" s="442"/>
      <c r="AF49" s="443"/>
      <c r="AG49" s="386"/>
      <c r="AH49" s="348"/>
    </row>
    <row r="50" spans="1:34">
      <c r="A50" s="117"/>
      <c r="B50" s="352"/>
      <c r="C50" s="368" t="s">
        <v>2037</v>
      </c>
      <c r="D50" s="368"/>
      <c r="E50" s="369">
        <f>E48/($D$48-F48)</f>
        <v>0.89523809523809528</v>
      </c>
      <c r="F50" s="370" t="s">
        <v>2038</v>
      </c>
      <c r="G50" s="369">
        <f>G48/($D$48-F48)</f>
        <v>0.10476190476190476</v>
      </c>
      <c r="H50" s="353"/>
      <c r="I50" s="353"/>
      <c r="J50" s="353"/>
      <c r="K50" s="353"/>
      <c r="L50" s="353"/>
      <c r="M50" s="353"/>
      <c r="N50" s="353"/>
      <c r="O50" s="353"/>
      <c r="P50" s="353"/>
      <c r="Q50" s="353"/>
      <c r="R50" s="353"/>
      <c r="S50" s="353"/>
      <c r="T50" s="382"/>
      <c r="U50" s="353"/>
      <c r="V50" s="387"/>
      <c r="W50" s="387"/>
      <c r="X50" s="441"/>
      <c r="Y50" s="442"/>
      <c r="Z50" s="442"/>
      <c r="AA50" s="442"/>
      <c r="AB50" s="442"/>
      <c r="AC50" s="442"/>
      <c r="AD50" s="442"/>
      <c r="AE50" s="442"/>
      <c r="AF50" s="443"/>
      <c r="AG50" s="386"/>
      <c r="AH50" s="348"/>
    </row>
    <row r="51" spans="1:34">
      <c r="A51" s="117"/>
      <c r="B51" s="352"/>
      <c r="C51" s="353"/>
      <c r="D51" s="353"/>
      <c r="E51" s="353"/>
      <c r="F51" s="353"/>
      <c r="G51" s="353"/>
      <c r="H51" s="353"/>
      <c r="I51" s="353"/>
      <c r="J51" s="353"/>
      <c r="K51" s="353"/>
      <c r="L51" s="353"/>
      <c r="M51" s="353"/>
      <c r="N51" s="353"/>
      <c r="O51" s="353"/>
      <c r="P51" s="353"/>
      <c r="Q51" s="353"/>
      <c r="R51" s="353"/>
      <c r="S51" s="353"/>
      <c r="T51" s="382"/>
      <c r="U51" s="353"/>
      <c r="V51" s="387"/>
      <c r="W51" s="387"/>
      <c r="X51" s="441"/>
      <c r="Y51" s="442"/>
      <c r="Z51" s="442"/>
      <c r="AA51" s="442"/>
      <c r="AB51" s="442"/>
      <c r="AC51" s="442"/>
      <c r="AD51" s="442"/>
      <c r="AE51" s="442"/>
      <c r="AF51" s="443"/>
      <c r="AG51" s="386"/>
      <c r="AH51" s="348"/>
    </row>
    <row r="52" spans="1:34">
      <c r="A52" s="117"/>
      <c r="B52" s="352"/>
      <c r="C52" s="353"/>
      <c r="D52" s="353"/>
      <c r="E52" s="353"/>
      <c r="F52" s="353"/>
      <c r="G52" s="353"/>
      <c r="H52" s="353"/>
      <c r="I52" s="353"/>
      <c r="J52" s="353"/>
      <c r="K52" s="353"/>
      <c r="L52" s="353"/>
      <c r="M52" s="353"/>
      <c r="N52" s="353"/>
      <c r="O52" s="353"/>
      <c r="P52" s="353"/>
      <c r="Q52" s="353"/>
      <c r="R52" s="353"/>
      <c r="S52" s="353"/>
      <c r="T52" s="382"/>
      <c r="U52" s="353"/>
      <c r="V52" s="353"/>
      <c r="W52" s="353"/>
      <c r="X52" s="444"/>
      <c r="Y52" s="445"/>
      <c r="Z52" s="445"/>
      <c r="AA52" s="445"/>
      <c r="AB52" s="445"/>
      <c r="AC52" s="445"/>
      <c r="AD52" s="445"/>
      <c r="AE52" s="445"/>
      <c r="AF52" s="446"/>
      <c r="AG52" s="354"/>
      <c r="AH52" s="117"/>
    </row>
    <row r="53" spans="1:34">
      <c r="A53" s="117"/>
      <c r="B53" s="352"/>
      <c r="C53" s="353"/>
      <c r="D53" s="353"/>
      <c r="E53" s="353"/>
      <c r="F53" s="353"/>
      <c r="G53" s="353"/>
      <c r="H53" s="353"/>
      <c r="I53" s="353"/>
      <c r="J53" s="353"/>
      <c r="K53" s="353"/>
      <c r="L53" s="353"/>
      <c r="M53" s="353"/>
      <c r="N53" s="353"/>
      <c r="O53" s="353"/>
      <c r="P53" s="353"/>
      <c r="Q53" s="353"/>
      <c r="R53" s="353"/>
      <c r="S53" s="353"/>
      <c r="T53" s="382"/>
      <c r="U53" s="353"/>
      <c r="V53" s="353"/>
      <c r="W53" s="353"/>
      <c r="X53" s="385"/>
      <c r="Y53" s="385"/>
      <c r="Z53" s="385"/>
      <c r="AA53" s="385"/>
      <c r="AB53" s="385"/>
      <c r="AC53" s="385"/>
      <c r="AD53" s="385"/>
      <c r="AE53" s="385"/>
      <c r="AF53" s="385"/>
      <c r="AG53" s="354"/>
      <c r="AH53" s="117"/>
    </row>
    <row r="54" spans="1:34">
      <c r="A54" s="117"/>
      <c r="B54" s="355"/>
      <c r="C54" s="356"/>
      <c r="D54" s="356"/>
      <c r="E54" s="356"/>
      <c r="F54" s="356"/>
      <c r="G54" s="356"/>
      <c r="H54" s="356"/>
      <c r="I54" s="356"/>
      <c r="J54" s="356"/>
      <c r="K54" s="356"/>
      <c r="L54" s="356"/>
      <c r="M54" s="356"/>
      <c r="N54" s="356"/>
      <c r="O54" s="356"/>
      <c r="P54" s="356"/>
      <c r="Q54" s="356"/>
      <c r="R54" s="356"/>
      <c r="S54" s="356"/>
      <c r="T54" s="356"/>
      <c r="U54" s="356"/>
      <c r="V54" s="356"/>
      <c r="W54" s="356"/>
      <c r="X54" s="356"/>
      <c r="Y54" s="356"/>
      <c r="Z54" s="356"/>
      <c r="AA54" s="356"/>
      <c r="AB54" s="356"/>
      <c r="AC54" s="356"/>
      <c r="AD54" s="356"/>
      <c r="AE54" s="356"/>
      <c r="AF54" s="356"/>
      <c r="AG54" s="357"/>
      <c r="AH54" s="117"/>
    </row>
    <row r="55" spans="1:34">
      <c r="A55" s="117"/>
      <c r="B55" s="348"/>
      <c r="C55" s="117"/>
      <c r="D55" s="117"/>
      <c r="E55" s="348"/>
      <c r="F55" s="348"/>
      <c r="G55" s="117"/>
      <c r="H55" s="117"/>
      <c r="I55" s="117"/>
      <c r="J55" s="117"/>
      <c r="K55" s="117"/>
      <c r="L55" s="117"/>
      <c r="M55" s="117"/>
      <c r="N55" s="117"/>
      <c r="O55" s="117"/>
      <c r="P55" s="348"/>
      <c r="Q55" s="117"/>
      <c r="R55" s="117"/>
      <c r="S55" s="117"/>
      <c r="T55" s="117"/>
      <c r="U55" s="117"/>
      <c r="V55" s="117"/>
      <c r="W55" s="117"/>
      <c r="X55" s="117"/>
      <c r="Y55" s="117"/>
      <c r="Z55" s="117"/>
      <c r="AA55" s="117"/>
      <c r="AB55" s="348"/>
      <c r="AC55" s="117"/>
      <c r="AD55" s="117"/>
      <c r="AE55" s="117"/>
      <c r="AF55" s="117"/>
      <c r="AG55" s="348"/>
      <c r="AH55" s="117"/>
    </row>
    <row r="56" spans="1:34">
      <c r="A56" s="117"/>
      <c r="B56" s="348"/>
      <c r="C56" s="117"/>
      <c r="D56" s="117"/>
      <c r="E56" s="348"/>
      <c r="F56" s="348"/>
      <c r="G56" s="117"/>
      <c r="H56" s="117"/>
      <c r="I56" s="117"/>
      <c r="J56" s="117"/>
      <c r="K56" s="117"/>
      <c r="L56" s="117"/>
      <c r="M56" s="117"/>
      <c r="N56" s="117"/>
      <c r="O56" s="117"/>
      <c r="P56" s="348"/>
      <c r="Q56" s="117"/>
      <c r="R56" s="117"/>
      <c r="S56" s="117"/>
      <c r="T56" s="117"/>
      <c r="U56" s="117"/>
      <c r="V56" s="117"/>
      <c r="W56" s="117"/>
      <c r="X56" s="117"/>
      <c r="Y56" s="117"/>
      <c r="Z56" s="117"/>
      <c r="AA56" s="117"/>
      <c r="AB56" s="348"/>
      <c r="AC56" s="117"/>
      <c r="AD56" s="117"/>
      <c r="AE56" s="117"/>
      <c r="AF56" s="117"/>
      <c r="AG56" s="348"/>
      <c r="AH56" s="117"/>
    </row>
    <row r="57" spans="1:34">
      <c r="A57" s="117"/>
      <c r="B57" s="348"/>
      <c r="C57" s="117"/>
      <c r="D57" s="117"/>
      <c r="E57" s="348"/>
      <c r="F57" s="348"/>
      <c r="G57" s="117"/>
      <c r="H57" s="117"/>
      <c r="I57" s="117"/>
      <c r="J57" s="117"/>
      <c r="K57" s="117"/>
      <c r="L57" s="117"/>
      <c r="M57" s="117"/>
      <c r="N57" s="117"/>
      <c r="O57" s="117"/>
      <c r="P57" s="348"/>
      <c r="Q57" s="117"/>
      <c r="R57" s="117"/>
      <c r="S57" s="117"/>
      <c r="T57" s="117"/>
      <c r="U57" s="117"/>
      <c r="V57" s="117"/>
      <c r="W57" s="117"/>
      <c r="X57" s="117"/>
      <c r="Y57" s="117"/>
      <c r="Z57" s="117"/>
      <c r="AA57" s="117"/>
      <c r="AB57" s="348"/>
      <c r="AC57" s="117"/>
      <c r="AD57" s="117"/>
      <c r="AE57" s="117"/>
      <c r="AF57" s="117"/>
      <c r="AG57" s="348"/>
      <c r="AH57" s="117"/>
    </row>
    <row r="58" spans="1:34">
      <c r="A58" s="117"/>
      <c r="B58" s="348"/>
      <c r="C58" s="117"/>
      <c r="D58" s="117"/>
      <c r="E58" s="348"/>
      <c r="F58" s="348"/>
      <c r="G58" s="117"/>
      <c r="H58" s="117"/>
      <c r="I58" s="117"/>
      <c r="J58" s="117"/>
      <c r="K58" s="117"/>
      <c r="L58" s="117"/>
      <c r="M58" s="117"/>
      <c r="N58" s="117"/>
      <c r="O58" s="117"/>
      <c r="P58" s="348"/>
      <c r="Q58" s="117"/>
      <c r="R58" s="117"/>
      <c r="S58" s="117"/>
      <c r="T58" s="117"/>
      <c r="U58" s="117"/>
      <c r="V58" s="117"/>
      <c r="W58" s="117"/>
      <c r="X58" s="117"/>
      <c r="Y58" s="117"/>
      <c r="Z58" s="117"/>
      <c r="AA58" s="117"/>
      <c r="AB58" s="348"/>
      <c r="AC58" s="117"/>
      <c r="AD58" s="117"/>
      <c r="AE58" s="117"/>
      <c r="AF58" s="117"/>
      <c r="AG58" s="348"/>
      <c r="AH58" s="117"/>
    </row>
    <row r="59" spans="1:34" ht="22.2">
      <c r="A59" s="117"/>
      <c r="B59" s="127" t="s">
        <v>2028</v>
      </c>
      <c r="C59" s="117"/>
      <c r="D59" s="117"/>
      <c r="E59" s="117"/>
      <c r="F59" s="117"/>
      <c r="G59" s="129" t="s">
        <v>34</v>
      </c>
      <c r="H59" s="129" t="s">
        <v>54</v>
      </c>
      <c r="I59" s="129" t="s">
        <v>181</v>
      </c>
      <c r="J59" s="129" t="s">
        <v>311</v>
      </c>
      <c r="K59" s="129" t="s">
        <v>26</v>
      </c>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row>
    <row r="60" spans="1:34" ht="4.9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row>
    <row r="61" spans="1:34">
      <c r="A61" s="117"/>
      <c r="B61" s="119"/>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1"/>
      <c r="AH61" s="117"/>
    </row>
    <row r="62" spans="1:34">
      <c r="A62" s="117"/>
      <c r="B62" s="122"/>
      <c r="C62" s="155" t="s">
        <v>607</v>
      </c>
      <c r="G62" s="155" t="s">
        <v>608</v>
      </c>
      <c r="P62" s="130" t="s">
        <v>609</v>
      </c>
      <c r="Q62" s="131"/>
      <c r="R62" s="130"/>
      <c r="S62" s="131"/>
      <c r="T62" s="132">
        <v>45659</v>
      </c>
      <c r="U62" s="132">
        <f>T62+8</f>
        <v>45667</v>
      </c>
      <c r="V62" s="133" t="s">
        <v>610</v>
      </c>
      <c r="X62" s="156" t="s">
        <v>611</v>
      </c>
      <c r="AG62" s="123"/>
      <c r="AH62" s="117"/>
    </row>
    <row r="63" spans="1:34" ht="17.7" customHeight="1">
      <c r="A63" s="117"/>
      <c r="B63" s="122"/>
      <c r="P63" s="26" t="s">
        <v>612</v>
      </c>
      <c r="T63"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f>
        <v>10</v>
      </c>
      <c r="U63"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f>
        <v>10</v>
      </c>
      <c r="V63" s="26">
        <f>U63-T63</f>
        <v>0</v>
      </c>
      <c r="X63" s="418" t="s">
        <v>2069</v>
      </c>
      <c r="Y63" s="419"/>
      <c r="Z63" s="419"/>
      <c r="AA63" s="419"/>
      <c r="AB63" s="419"/>
      <c r="AC63" s="419"/>
      <c r="AD63" s="419"/>
      <c r="AE63" s="419"/>
      <c r="AF63" s="420"/>
      <c r="AG63" s="164"/>
      <c r="AH63" s="117"/>
    </row>
    <row r="64" spans="1:34">
      <c r="A64" s="117"/>
      <c r="B64" s="122"/>
      <c r="P64" s="26" t="s">
        <v>613</v>
      </c>
      <c r="T64"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f>
        <v>146</v>
      </c>
      <c r="U64"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f>
        <v>147</v>
      </c>
      <c r="V64" s="26">
        <f t="shared" ref="V64:V71" si="2">U64-T64</f>
        <v>1</v>
      </c>
      <c r="X64" s="421"/>
      <c r="Y64" s="422"/>
      <c r="Z64" s="422"/>
      <c r="AA64" s="422"/>
      <c r="AB64" s="422"/>
      <c r="AC64" s="422"/>
      <c r="AD64" s="422"/>
      <c r="AE64" s="422"/>
      <c r="AF64" s="423"/>
      <c r="AG64" s="164"/>
      <c r="AH64" s="117"/>
    </row>
    <row r="65" spans="1:34">
      <c r="A65" s="117"/>
      <c r="B65" s="122"/>
      <c r="P65" s="26" t="s">
        <v>1921</v>
      </c>
      <c r="T65"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f>
        <v>1</v>
      </c>
      <c r="U65"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f>
        <v>0</v>
      </c>
      <c r="V65" s="26">
        <f t="shared" si="2"/>
        <v>-1</v>
      </c>
      <c r="X65" s="421"/>
      <c r="Y65" s="422"/>
      <c r="Z65" s="422"/>
      <c r="AA65" s="422"/>
      <c r="AB65" s="422"/>
      <c r="AC65" s="422"/>
      <c r="AD65" s="422"/>
      <c r="AE65" s="422"/>
      <c r="AF65" s="423"/>
      <c r="AG65" s="164"/>
      <c r="AH65" s="117"/>
    </row>
    <row r="66" spans="1:34">
      <c r="A66" s="117"/>
      <c r="B66" s="122"/>
      <c r="D66" s="399" t="str">
        <f>"# "&amp;U72</f>
        <v># 169</v>
      </c>
      <c r="E66" s="399"/>
      <c r="P66" s="26" t="s">
        <v>1922</v>
      </c>
      <c r="T66"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f>
        <v>0</v>
      </c>
      <c r="U66"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f>
        <v>0</v>
      </c>
      <c r="V66" s="26">
        <f>U66-T66</f>
        <v>0</v>
      </c>
      <c r="X66" s="421"/>
      <c r="Y66" s="422"/>
      <c r="Z66" s="422"/>
      <c r="AA66" s="422"/>
      <c r="AB66" s="422"/>
      <c r="AC66" s="422"/>
      <c r="AD66" s="422"/>
      <c r="AE66" s="422"/>
      <c r="AF66" s="423"/>
      <c r="AG66" s="164"/>
      <c r="AH66" s="117"/>
    </row>
    <row r="67" spans="1:34" ht="17.7" customHeight="1">
      <c r="A67" s="117"/>
      <c r="B67" s="122"/>
      <c r="D67" s="399"/>
      <c r="E67" s="399"/>
      <c r="P67" s="26" t="s">
        <v>614</v>
      </c>
      <c r="T67"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f>
        <v>0</v>
      </c>
      <c r="U67"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f>
        <v>0</v>
      </c>
      <c r="V67" s="26">
        <f t="shared" si="2"/>
        <v>0</v>
      </c>
      <c r="X67" s="421"/>
      <c r="Y67" s="422"/>
      <c r="Z67" s="422"/>
      <c r="AA67" s="422"/>
      <c r="AB67" s="422"/>
      <c r="AC67" s="422"/>
      <c r="AD67" s="422"/>
      <c r="AE67" s="422"/>
      <c r="AF67" s="423"/>
      <c r="AG67" s="164"/>
      <c r="AH67" s="117"/>
    </row>
    <row r="68" spans="1:34" ht="17.7" customHeight="1">
      <c r="A68" s="117"/>
      <c r="B68" s="122"/>
      <c r="D68" s="399"/>
      <c r="E68" s="399"/>
      <c r="P68" s="26" t="s">
        <v>615</v>
      </c>
      <c r="T68"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f>
        <v>0</v>
      </c>
      <c r="U68"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f>
        <v>12</v>
      </c>
      <c r="V68" s="26">
        <f t="shared" si="2"/>
        <v>12</v>
      </c>
      <c r="X68" s="421"/>
      <c r="Y68" s="422"/>
      <c r="Z68" s="422"/>
      <c r="AA68" s="422"/>
      <c r="AB68" s="422"/>
      <c r="AC68" s="422"/>
      <c r="AD68" s="422"/>
      <c r="AE68" s="422"/>
      <c r="AF68" s="423"/>
      <c r="AG68" s="164"/>
      <c r="AH68" s="117"/>
    </row>
    <row r="69" spans="1:34">
      <c r="A69" s="117"/>
      <c r="B69" s="122"/>
      <c r="P69" s="26" t="s">
        <v>616</v>
      </c>
      <c r="R69" s="26" t="s">
        <v>617</v>
      </c>
      <c r="T69"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f>
        <v>0</v>
      </c>
      <c r="U69"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f>
        <v>0</v>
      </c>
      <c r="V69" s="26">
        <f t="shared" si="2"/>
        <v>0</v>
      </c>
      <c r="X69" s="421"/>
      <c r="Y69" s="422"/>
      <c r="Z69" s="422"/>
      <c r="AA69" s="422"/>
      <c r="AB69" s="422"/>
      <c r="AC69" s="422"/>
      <c r="AD69" s="422"/>
      <c r="AE69" s="422"/>
      <c r="AF69" s="423"/>
      <c r="AG69" s="164"/>
      <c r="AH69" s="117"/>
    </row>
    <row r="70" spans="1:34">
      <c r="A70" s="117"/>
      <c r="B70" s="122"/>
      <c r="P70" s="26" t="s">
        <v>618</v>
      </c>
      <c r="T70"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f>
        <v>12</v>
      </c>
      <c r="U70"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f>
        <v>0</v>
      </c>
      <c r="V70" s="26">
        <f t="shared" si="2"/>
        <v>-12</v>
      </c>
      <c r="X70" s="421"/>
      <c r="Y70" s="422"/>
      <c r="Z70" s="422"/>
      <c r="AA70" s="422"/>
      <c r="AB70" s="422"/>
      <c r="AC70" s="422"/>
      <c r="AD70" s="422"/>
      <c r="AE70" s="422"/>
      <c r="AF70" s="423"/>
      <c r="AG70" s="164"/>
      <c r="AH70" s="117"/>
    </row>
    <row r="71" spans="1:34">
      <c r="A71" s="117"/>
      <c r="B71" s="122"/>
      <c r="P71" s="26" t="s">
        <v>28</v>
      </c>
      <c r="T71"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f>
        <v>0</v>
      </c>
      <c r="U71"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f>
        <v>0</v>
      </c>
      <c r="V71" s="26">
        <f t="shared" si="2"/>
        <v>0</v>
      </c>
      <c r="X71" s="421"/>
      <c r="Y71" s="422"/>
      <c r="Z71" s="422"/>
      <c r="AA71" s="422"/>
      <c r="AB71" s="422"/>
      <c r="AC71" s="422"/>
      <c r="AD71" s="422"/>
      <c r="AE71" s="422"/>
      <c r="AF71" s="423"/>
      <c r="AG71" s="164"/>
      <c r="AH71" s="117"/>
    </row>
    <row r="72" spans="1:34">
      <c r="A72" s="117"/>
      <c r="B72" s="122"/>
      <c r="T72" s="128">
        <f>SUM(T63:T71)</f>
        <v>169</v>
      </c>
      <c r="U72" s="128">
        <f>SUM(U63:U71)</f>
        <v>169</v>
      </c>
      <c r="X72" s="421"/>
      <c r="Y72" s="422"/>
      <c r="Z72" s="422"/>
      <c r="AA72" s="422"/>
      <c r="AB72" s="422"/>
      <c r="AC72" s="422"/>
      <c r="AD72" s="422"/>
      <c r="AE72" s="422"/>
      <c r="AF72" s="423"/>
      <c r="AG72" s="164"/>
      <c r="AH72" s="117"/>
    </row>
    <row r="73" spans="1:34">
      <c r="A73" s="117"/>
      <c r="B73" s="122"/>
      <c r="G73" s="130" t="s">
        <v>619</v>
      </c>
      <c r="H73" s="131"/>
      <c r="I73" s="131"/>
      <c r="J73" s="131"/>
      <c r="K73" s="131"/>
      <c r="L73" s="131"/>
      <c r="M73" s="131"/>
      <c r="P73" s="130" t="s">
        <v>620</v>
      </c>
      <c r="Q73" s="131"/>
      <c r="R73" s="131"/>
      <c r="S73" s="131"/>
      <c r="T73" s="131"/>
      <c r="U73" s="131"/>
      <c r="V73" s="131"/>
      <c r="X73" s="421"/>
      <c r="Y73" s="422"/>
      <c r="Z73" s="422"/>
      <c r="AA73" s="422"/>
      <c r="AB73" s="422"/>
      <c r="AC73" s="422"/>
      <c r="AD73" s="422"/>
      <c r="AE73" s="422"/>
      <c r="AF73" s="423"/>
      <c r="AG73" s="164"/>
      <c r="AH73" s="117"/>
    </row>
    <row r="74" spans="1:34">
      <c r="A74" s="117"/>
      <c r="B74" s="122"/>
      <c r="F74" s="160" t="s">
        <v>621</v>
      </c>
      <c r="G74" s="26" t="s">
        <v>622</v>
      </c>
      <c r="L74" s="162" t="s">
        <v>623</v>
      </c>
      <c r="O74" s="160" t="s">
        <v>621</v>
      </c>
      <c r="P74" s="26" t="s">
        <v>624</v>
      </c>
      <c r="T74" s="162" t="s">
        <v>623</v>
      </c>
      <c r="X74" s="421"/>
      <c r="Y74" s="422"/>
      <c r="Z74" s="422"/>
      <c r="AA74" s="422"/>
      <c r="AB74" s="422"/>
      <c r="AC74" s="422"/>
      <c r="AD74" s="422"/>
      <c r="AE74" s="422"/>
      <c r="AF74" s="423"/>
      <c r="AG74" s="164"/>
      <c r="AH74" s="117"/>
    </row>
    <row r="75" spans="1:34">
      <c r="A75" s="117"/>
      <c r="B75" s="122"/>
      <c r="F75" s="160" t="s">
        <v>621</v>
      </c>
      <c r="G75" s="26" t="s">
        <v>625</v>
      </c>
      <c r="L75" s="162" t="s">
        <v>623</v>
      </c>
      <c r="O75" s="160" t="s">
        <v>621</v>
      </c>
      <c r="P75" s="26" t="s">
        <v>626</v>
      </c>
      <c r="T75" s="162" t="s">
        <v>623</v>
      </c>
      <c r="X75" s="421"/>
      <c r="Y75" s="422"/>
      <c r="Z75" s="422"/>
      <c r="AA75" s="422"/>
      <c r="AB75" s="422"/>
      <c r="AC75" s="422"/>
      <c r="AD75" s="422"/>
      <c r="AE75" s="422"/>
      <c r="AF75" s="423"/>
      <c r="AG75" s="164"/>
      <c r="AH75" s="117"/>
    </row>
    <row r="76" spans="1:34">
      <c r="A76" s="117"/>
      <c r="B76" s="122"/>
      <c r="F76" s="160" t="s">
        <v>621</v>
      </c>
      <c r="G76" s="26" t="s">
        <v>627</v>
      </c>
      <c r="L76" s="162" t="s">
        <v>623</v>
      </c>
      <c r="O76" s="160" t="s">
        <v>621</v>
      </c>
      <c r="P76" s="26" t="s">
        <v>628</v>
      </c>
      <c r="T76" s="165" t="s">
        <v>629</v>
      </c>
      <c r="X76" s="421"/>
      <c r="Y76" s="422"/>
      <c r="Z76" s="422"/>
      <c r="AA76" s="422"/>
      <c r="AB76" s="422"/>
      <c r="AC76" s="422"/>
      <c r="AD76" s="422"/>
      <c r="AE76" s="422"/>
      <c r="AF76" s="423"/>
      <c r="AG76" s="164"/>
      <c r="AH76" s="117"/>
    </row>
    <row r="77" spans="1:34">
      <c r="A77" s="117"/>
      <c r="B77" s="122"/>
      <c r="F77" s="160" t="s">
        <v>621</v>
      </c>
      <c r="G77" s="26" t="s">
        <v>630</v>
      </c>
      <c r="L77" s="162" t="s">
        <v>623</v>
      </c>
      <c r="O77" s="160"/>
      <c r="T77" s="165"/>
      <c r="X77" s="421"/>
      <c r="Y77" s="422"/>
      <c r="Z77" s="422"/>
      <c r="AA77" s="422"/>
      <c r="AB77" s="422"/>
      <c r="AC77" s="422"/>
      <c r="AD77" s="422"/>
      <c r="AE77" s="422"/>
      <c r="AF77" s="423"/>
      <c r="AG77" s="164"/>
      <c r="AH77" s="117"/>
    </row>
    <row r="78" spans="1:34">
      <c r="A78" s="117"/>
      <c r="B78" s="122"/>
      <c r="F78" s="160" t="s">
        <v>621</v>
      </c>
      <c r="G78" s="26" t="s">
        <v>631</v>
      </c>
      <c r="L78" s="254" t="s">
        <v>2003</v>
      </c>
      <c r="O78" s="160"/>
      <c r="T78" s="165"/>
      <c r="X78" s="421"/>
      <c r="Y78" s="422"/>
      <c r="Z78" s="422"/>
      <c r="AA78" s="422"/>
      <c r="AB78" s="422"/>
      <c r="AC78" s="422"/>
      <c r="AD78" s="422"/>
      <c r="AE78" s="422"/>
      <c r="AF78" s="423"/>
      <c r="AG78" s="164"/>
      <c r="AH78" s="117"/>
    </row>
    <row r="79" spans="1:34">
      <c r="A79" s="117"/>
      <c r="B79" s="122"/>
      <c r="F79" s="160" t="s">
        <v>621</v>
      </c>
      <c r="G79" s="26" t="s">
        <v>632</v>
      </c>
      <c r="L79" s="162" t="s">
        <v>623</v>
      </c>
      <c r="O79" s="160"/>
      <c r="T79" s="162"/>
      <c r="X79" s="421"/>
      <c r="Y79" s="422"/>
      <c r="Z79" s="422"/>
      <c r="AA79" s="422"/>
      <c r="AB79" s="422"/>
      <c r="AC79" s="422"/>
      <c r="AD79" s="422"/>
      <c r="AE79" s="422"/>
      <c r="AF79" s="423"/>
      <c r="AG79" s="164"/>
      <c r="AH79" s="117"/>
    </row>
    <row r="80" spans="1:34">
      <c r="A80" s="117"/>
      <c r="B80" s="122"/>
      <c r="O80" s="160"/>
      <c r="X80" s="424"/>
      <c r="Y80" s="425"/>
      <c r="Z80" s="425"/>
      <c r="AA80" s="425"/>
      <c r="AB80" s="425"/>
      <c r="AC80" s="425"/>
      <c r="AD80" s="425"/>
      <c r="AE80" s="425"/>
      <c r="AF80" s="426"/>
      <c r="AG80" s="164"/>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2026</v>
      </c>
      <c r="C83" s="117"/>
      <c r="D83" s="117"/>
      <c r="E83" s="117"/>
      <c r="F83" s="117"/>
      <c r="G83" s="129" t="s">
        <v>181</v>
      </c>
      <c r="H83" s="129" t="s">
        <v>311</v>
      </c>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607</v>
      </c>
      <c r="G86" s="155" t="s">
        <v>608</v>
      </c>
      <c r="P86" s="130" t="s">
        <v>609</v>
      </c>
      <c r="Q86" s="131"/>
      <c r="R86" s="130"/>
      <c r="S86" s="131"/>
      <c r="T86" s="132">
        <f>T62</f>
        <v>45659</v>
      </c>
      <c r="U86" s="132">
        <f>U62</f>
        <v>45667</v>
      </c>
      <c r="V86" s="133" t="s">
        <v>610</v>
      </c>
      <c r="X86" s="156" t="s">
        <v>611</v>
      </c>
      <c r="AG86" s="123"/>
      <c r="AH86" s="117"/>
    </row>
    <row r="87" spans="1:34" ht="17.7" customHeight="1">
      <c r="A87" s="117"/>
      <c r="B87" s="122"/>
      <c r="P87" s="26" t="s">
        <v>612</v>
      </c>
      <c r="T87" s="26">
        <f>COUNTIFS('2. Status Detalhe Campos'!$H$7:$H$574,'1. Status Resumo'!$P87,'2. Status Detalhe Campos'!$C$7:$C$574,'1. Status Resumo'!$G$83,'2. Status Detalhe Campos'!$D$7:$D$574,"2. Campo")+COUNTIFS('2. Status Detalhe Campos'!$H$7:$H$574,'1. Status Resumo'!$P87,'2. Status Detalhe Campos'!$C$7:$C$574,'1. Status Resumo'!$H$83,'2. Status Detalhe Campos'!$D$7:$D$574,"2. Campo")</f>
        <v>14</v>
      </c>
      <c r="U87" s="26">
        <f>COUNTIFS('2. Status Detalhe Campos'!$G$7:$G$574,'1. Status Resumo'!$P87,'2. Status Detalhe Campos'!$C$7:$C$574,'1. Status Resumo'!$G$83,'2. Status Detalhe Campos'!$D$7:$D$574,"2. Campo")+COUNTIFS('2. Status Detalhe Campos'!$G$7:$G$574,'1. Status Resumo'!$P87,'2. Status Detalhe Campos'!$C$7:$C$574,'1. Status Resumo'!$H$83,'2. Status Detalhe Campos'!$D$7:$D$574,"2. Campo")</f>
        <v>14</v>
      </c>
      <c r="V87" s="26">
        <f>U87-T87</f>
        <v>0</v>
      </c>
      <c r="W87" s="157"/>
      <c r="X87" s="409" t="s">
        <v>2072</v>
      </c>
      <c r="Y87" s="410"/>
      <c r="Z87" s="410"/>
      <c r="AA87" s="410"/>
      <c r="AB87" s="410"/>
      <c r="AC87" s="410"/>
      <c r="AD87" s="410"/>
      <c r="AE87" s="410"/>
      <c r="AF87" s="411"/>
      <c r="AG87" s="158" t="s">
        <v>633</v>
      </c>
      <c r="AH87" s="117"/>
    </row>
    <row r="88" spans="1:34">
      <c r="A88" s="117"/>
      <c r="B88" s="122"/>
      <c r="P88" s="26" t="s">
        <v>613</v>
      </c>
      <c r="T88" s="26">
        <f>COUNTIFS('2. Status Detalhe Campos'!$H$7:$H$574,'1. Status Resumo'!$P88,'2. Status Detalhe Campos'!$C$7:$C$574,'1. Status Resumo'!$G$83,'2. Status Detalhe Campos'!$D$7:$D$574,"2. Campo")+COUNTIFS('2. Status Detalhe Campos'!$H$7:$H$574,'1. Status Resumo'!$P88,'2. Status Detalhe Campos'!$C$7:$C$574,'1. Status Resumo'!$H$83,'2. Status Detalhe Campos'!$D$7:$D$574,"2. Campo")</f>
        <v>209</v>
      </c>
      <c r="U88" s="26">
        <f>COUNTIFS('2. Status Detalhe Campos'!$G$7:$G$574,'1. Status Resumo'!$P88,'2. Status Detalhe Campos'!$C$7:$C$574,'1. Status Resumo'!$G$83,'2. Status Detalhe Campos'!$D$7:$D$574,"2. Campo")+COUNTIFS('2. Status Detalhe Campos'!$G$7:$G$574,'1. Status Resumo'!$P88,'2. Status Detalhe Campos'!$C$7:$C$574,'1. Status Resumo'!$H$83,'2. Status Detalhe Campos'!$D$7:$D$574,"2. Campo")</f>
        <v>204</v>
      </c>
      <c r="V88" s="26">
        <f t="shared" ref="V88:V95" si="3">U88-T88</f>
        <v>-5</v>
      </c>
      <c r="W88" s="157"/>
      <c r="X88" s="412"/>
      <c r="Y88" s="413"/>
      <c r="Z88" s="413"/>
      <c r="AA88" s="413"/>
      <c r="AB88" s="413"/>
      <c r="AC88" s="413"/>
      <c r="AD88" s="413"/>
      <c r="AE88" s="413"/>
      <c r="AF88" s="414"/>
      <c r="AG88" s="158"/>
      <c r="AH88" s="117"/>
    </row>
    <row r="89" spans="1:34">
      <c r="A89" s="117"/>
      <c r="B89" s="122"/>
      <c r="P89" s="26" t="s">
        <v>1921</v>
      </c>
      <c r="T89" s="26">
        <f>COUNTIFS('2. Status Detalhe Campos'!$H$7:$H$574,'1. Status Resumo'!$P89,'2. Status Detalhe Campos'!$C$7:$C$574,'1. Status Resumo'!$G$83,'2. Status Detalhe Campos'!$D$7:$D$574,"2. Campo")+COUNTIFS('2. Status Detalhe Campos'!$H$7:$H$574,'1. Status Resumo'!$P89,'2. Status Detalhe Campos'!$C$7:$C$574,'1. Status Resumo'!$H$83,'2. Status Detalhe Campos'!$D$7:$D$574,"2. Campo")</f>
        <v>16</v>
      </c>
      <c r="U89" s="26">
        <f>COUNTIFS('2. Status Detalhe Campos'!$G$7:$G$574,'1. Status Resumo'!$P89,'2. Status Detalhe Campos'!$C$7:$C$574,'1. Status Resumo'!$G$83,'2. Status Detalhe Campos'!$D$7:$D$574,"2. Campo")+COUNTIFS('2. Status Detalhe Campos'!$G$7:$G$574,'1. Status Resumo'!$P89,'2. Status Detalhe Campos'!$C$7:$C$574,'1. Status Resumo'!$H$83,'2. Status Detalhe Campos'!$D$7:$D$574,"2. Campo")</f>
        <v>7</v>
      </c>
      <c r="V89" s="26">
        <f t="shared" si="3"/>
        <v>-9</v>
      </c>
      <c r="W89" s="157"/>
      <c r="X89" s="412"/>
      <c r="Y89" s="413"/>
      <c r="Z89" s="413"/>
      <c r="AA89" s="413"/>
      <c r="AB89" s="413"/>
      <c r="AC89" s="413"/>
      <c r="AD89" s="413"/>
      <c r="AE89" s="413"/>
      <c r="AF89" s="414"/>
      <c r="AG89" s="158"/>
      <c r="AH89" s="117"/>
    </row>
    <row r="90" spans="1:34">
      <c r="A90" s="117"/>
      <c r="B90" s="122"/>
      <c r="D90" s="399" t="str">
        <f>"# "&amp;U96</f>
        <v># 245</v>
      </c>
      <c r="E90" s="399"/>
      <c r="P90" s="26" t="s">
        <v>1922</v>
      </c>
      <c r="T90" s="26">
        <f>COUNTIFS('2. Status Detalhe Campos'!$H$7:$H$574,'1. Status Resumo'!$P90,'2. Status Detalhe Campos'!$C$7:$C$574,'1. Status Resumo'!$G$83,'2. Status Detalhe Campos'!$D$7:$D$574,"2. Campo")+COUNTIFS('2. Status Detalhe Campos'!$H$7:$H$574,'1. Status Resumo'!$P90,'2. Status Detalhe Campos'!$C$7:$C$574,'1. Status Resumo'!$H$83,'2. Status Detalhe Campos'!$D$7:$D$574,"2. Campo")</f>
        <v>0</v>
      </c>
      <c r="U90" s="26">
        <f>COUNTIFS('2. Status Detalhe Campos'!$G$7:$G$574,'1. Status Resumo'!$P90,'2. Status Detalhe Campos'!$C$7:$C$574,'1. Status Resumo'!$G$83,'2. Status Detalhe Campos'!$D$7:$D$574,"2. Campo")+COUNTIFS('2. Status Detalhe Campos'!$G$7:$G$574,'1. Status Resumo'!$P90,'2. Status Detalhe Campos'!$C$7:$C$574,'1. Status Resumo'!$H$83,'2. Status Detalhe Campos'!$D$7:$D$574,"2. Campo")</f>
        <v>13</v>
      </c>
      <c r="V90" s="26">
        <f>U90-T90</f>
        <v>13</v>
      </c>
      <c r="W90" s="157"/>
      <c r="X90" s="412"/>
      <c r="Y90" s="413"/>
      <c r="Z90" s="413"/>
      <c r="AA90" s="413"/>
      <c r="AB90" s="413"/>
      <c r="AC90" s="413"/>
      <c r="AD90" s="413"/>
      <c r="AE90" s="413"/>
      <c r="AF90" s="414"/>
      <c r="AG90" s="158"/>
      <c r="AH90" s="117"/>
    </row>
    <row r="91" spans="1:34" ht="17.7" customHeight="1">
      <c r="A91" s="117"/>
      <c r="B91" s="122"/>
      <c r="D91" s="399"/>
      <c r="E91" s="399"/>
      <c r="P91" s="26" t="s">
        <v>614</v>
      </c>
      <c r="T91" s="26">
        <f>COUNTIFS('2. Status Detalhe Campos'!$H$7:$H$574,'1. Status Resumo'!$P91,'2. Status Detalhe Campos'!$C$7:$C$574,'1. Status Resumo'!$G$83,'2. Status Detalhe Campos'!$D$7:$D$574,"2. Campo")+COUNTIFS('2. Status Detalhe Campos'!$H$7:$H$574,'1. Status Resumo'!$P91,'2. Status Detalhe Campos'!$C$7:$C$574,'1. Status Resumo'!$H$83,'2. Status Detalhe Campos'!$D$7:$D$574,"2. Campo")</f>
        <v>0</v>
      </c>
      <c r="U91" s="26">
        <f>COUNTIFS('2. Status Detalhe Campos'!$G$7:$G$574,'1. Status Resumo'!$P91,'2. Status Detalhe Campos'!$C$7:$C$574,'1. Status Resumo'!$G$83,'2. Status Detalhe Campos'!$D$7:$D$574,"2. Campo")+COUNTIFS('2. Status Detalhe Campos'!$G$7:$G$574,'1. Status Resumo'!$P91,'2. Status Detalhe Campos'!$C$7:$C$574,'1. Status Resumo'!$H$83,'2. Status Detalhe Campos'!$D$7:$D$574,"2. Campo")</f>
        <v>0</v>
      </c>
      <c r="V91" s="26">
        <f t="shared" si="3"/>
        <v>0</v>
      </c>
      <c r="W91" s="157"/>
      <c r="X91" s="412"/>
      <c r="Y91" s="413"/>
      <c r="Z91" s="413"/>
      <c r="AA91" s="413"/>
      <c r="AB91" s="413"/>
      <c r="AC91" s="413"/>
      <c r="AD91" s="413"/>
      <c r="AE91" s="413"/>
      <c r="AF91" s="414"/>
      <c r="AG91" s="158"/>
      <c r="AH91" s="117"/>
    </row>
    <row r="92" spans="1:34" ht="17.7" customHeight="1">
      <c r="A92" s="117"/>
      <c r="B92" s="122"/>
      <c r="D92" s="399"/>
      <c r="E92" s="399"/>
      <c r="P92" s="26" t="s">
        <v>615</v>
      </c>
      <c r="T92" s="26">
        <f>COUNTIFS('2. Status Detalhe Campos'!$H$7:$H$574,'1. Status Resumo'!$P92,'2. Status Detalhe Campos'!$C$7:$C$574,'1. Status Resumo'!$G$83,'2. Status Detalhe Campos'!$D$7:$D$574,"2. Campo")+COUNTIFS('2. Status Detalhe Campos'!$H$7:$H$574,'1. Status Resumo'!$P92,'2. Status Detalhe Campos'!$C$7:$C$574,'1. Status Resumo'!$H$83,'2. Status Detalhe Campos'!$D$7:$D$574,"2. Campo")</f>
        <v>1</v>
      </c>
      <c r="U92" s="26">
        <f>COUNTIFS('2. Status Detalhe Campos'!$G$7:$G$574,'1. Status Resumo'!$P92,'2. Status Detalhe Campos'!$C$7:$C$574,'1. Status Resumo'!$G$83,'2. Status Detalhe Campos'!$D$7:$D$574,"2. Campo")+COUNTIFS('2. Status Detalhe Campos'!$G$7:$G$574,'1. Status Resumo'!$P92,'2. Status Detalhe Campos'!$C$7:$C$574,'1. Status Resumo'!$H$83,'2. Status Detalhe Campos'!$D$7:$D$574,"2. Campo")</f>
        <v>1</v>
      </c>
      <c r="V92" s="26">
        <f t="shared" si="3"/>
        <v>0</v>
      </c>
      <c r="W92" s="157"/>
      <c r="X92" s="412"/>
      <c r="Y92" s="413"/>
      <c r="Z92" s="413"/>
      <c r="AA92" s="413"/>
      <c r="AB92" s="413"/>
      <c r="AC92" s="413"/>
      <c r="AD92" s="413"/>
      <c r="AE92" s="413"/>
      <c r="AF92" s="414"/>
      <c r="AG92" s="158"/>
      <c r="AH92" s="117"/>
    </row>
    <row r="93" spans="1:34" ht="17.7" customHeight="1">
      <c r="A93" s="117"/>
      <c r="B93" s="122"/>
      <c r="P93" s="26" t="s">
        <v>616</v>
      </c>
      <c r="R93" s="26" t="s">
        <v>617</v>
      </c>
      <c r="T93" s="26">
        <f>COUNTIFS('2. Status Detalhe Campos'!$H$7:$H$574,'1. Status Resumo'!$P93,'2. Status Detalhe Campos'!$C$7:$C$574,'1. Status Resumo'!$G$83,'2. Status Detalhe Campos'!$D$7:$D$574,"2. Campo")+COUNTIFS('2. Status Detalhe Campos'!$H$7:$H$574,'1. Status Resumo'!$P93,'2. Status Detalhe Campos'!$C$7:$C$574,'1. Status Resumo'!$H$83,'2. Status Detalhe Campos'!$D$7:$D$574,"2. Campo")</f>
        <v>0</v>
      </c>
      <c r="U93" s="26">
        <f>COUNTIFS('2. Status Detalhe Campos'!$G$7:$G$574,'1. Status Resumo'!$P93,'2. Status Detalhe Campos'!$C$7:$C$574,'1. Status Resumo'!$G$83,'2. Status Detalhe Campos'!$D$7:$D$574,"2. Campo")+COUNTIFS('2. Status Detalhe Campos'!$G$7:$G$574,'1. Status Resumo'!$P93,'2. Status Detalhe Campos'!$C$7:$C$574,'1. Status Resumo'!$H$83,'2. Status Detalhe Campos'!$D$7:$D$574,"2. Campo")</f>
        <v>0</v>
      </c>
      <c r="V93" s="26">
        <f t="shared" si="3"/>
        <v>0</v>
      </c>
      <c r="W93" s="157"/>
      <c r="X93" s="412"/>
      <c r="Y93" s="413"/>
      <c r="Z93" s="413"/>
      <c r="AA93" s="413"/>
      <c r="AB93" s="413"/>
      <c r="AC93" s="413"/>
      <c r="AD93" s="413"/>
      <c r="AE93" s="413"/>
      <c r="AF93" s="414"/>
      <c r="AG93" s="158"/>
      <c r="AH93" s="117"/>
    </row>
    <row r="94" spans="1:34">
      <c r="A94" s="117"/>
      <c r="B94" s="122"/>
      <c r="P94" s="26" t="s">
        <v>618</v>
      </c>
      <c r="T94" s="26">
        <f>COUNTIFS('2. Status Detalhe Campos'!$H$7:$H$574,'1. Status Resumo'!$P94,'2. Status Detalhe Campos'!$C$7:$C$574,'1. Status Resumo'!$G$83,'2. Status Detalhe Campos'!$D$7:$D$574,"2. Campo")+COUNTIFS('2. Status Detalhe Campos'!$H$7:$H$574,'1. Status Resumo'!$P94,'2. Status Detalhe Campos'!$C$7:$C$574,'1. Status Resumo'!$H$83,'2. Status Detalhe Campos'!$D$7:$D$574,"2. Campo")</f>
        <v>5</v>
      </c>
      <c r="U94" s="26">
        <f>COUNTIFS('2. Status Detalhe Campos'!$G$7:$G$574,'1. Status Resumo'!$P94,'2. Status Detalhe Campos'!$C$7:$C$574,'1. Status Resumo'!$G$83,'2. Status Detalhe Campos'!$D$7:$D$574,"2. Campo")+COUNTIFS('2. Status Detalhe Campos'!$G$7:$G$574,'1. Status Resumo'!$P94,'2. Status Detalhe Campos'!$C$7:$C$574,'1. Status Resumo'!$H$83,'2. Status Detalhe Campos'!$D$7:$D$574,"2. Campo")</f>
        <v>6</v>
      </c>
      <c r="V94" s="26">
        <f t="shared" si="3"/>
        <v>1</v>
      </c>
      <c r="X94" s="412"/>
      <c r="Y94" s="413"/>
      <c r="Z94" s="413"/>
      <c r="AA94" s="413"/>
      <c r="AB94" s="413"/>
      <c r="AC94" s="413"/>
      <c r="AD94" s="413"/>
      <c r="AE94" s="413"/>
      <c r="AF94" s="414"/>
      <c r="AG94" s="158"/>
      <c r="AH94" s="117"/>
    </row>
    <row r="95" spans="1:34">
      <c r="A95" s="117"/>
      <c r="B95" s="122"/>
      <c r="P95" s="26" t="s">
        <v>28</v>
      </c>
      <c r="T95" s="26">
        <f>COUNTIFS('2. Status Detalhe Campos'!$H$7:$H$574,'1. Status Resumo'!$P95,'2. Status Detalhe Campos'!$C$7:$C$574,'1. Status Resumo'!$G$83,'2. Status Detalhe Campos'!$D$7:$D$574,"2. Campo")+COUNTIFS('2. Status Detalhe Campos'!$H$7:$H$574,'1. Status Resumo'!$P95,'2. Status Detalhe Campos'!$C$7:$C$574,'1. Status Resumo'!$H$83,'2. Status Detalhe Campos'!$D$7:$D$574,"2. Campo")</f>
        <v>0</v>
      </c>
      <c r="U95" s="26">
        <f>COUNTIFS('2. Status Detalhe Campos'!$G$7:$G$574,'1. Status Resumo'!$P95,'2. Status Detalhe Campos'!$C$7:$C$574,'1. Status Resumo'!$G$83,'2. Status Detalhe Campos'!$D$7:$D$574,"2. Campo")+COUNTIFS('2. Status Detalhe Campos'!$G$7:$G$574,'1. Status Resumo'!$P95,'2. Status Detalhe Campos'!$C$7:$C$574,'1. Status Resumo'!$H$83,'2. Status Detalhe Campos'!$D$7:$D$574,"2. Campo")</f>
        <v>0</v>
      </c>
      <c r="V95" s="26">
        <f t="shared" si="3"/>
        <v>0</v>
      </c>
      <c r="X95" s="412"/>
      <c r="Y95" s="413"/>
      <c r="Z95" s="413"/>
      <c r="AA95" s="413"/>
      <c r="AB95" s="413"/>
      <c r="AC95" s="413"/>
      <c r="AD95" s="413"/>
      <c r="AE95" s="413"/>
      <c r="AF95" s="414"/>
      <c r="AG95" s="158"/>
      <c r="AH95" s="117"/>
    </row>
    <row r="96" spans="1:34">
      <c r="A96" s="117"/>
      <c r="B96" s="122"/>
      <c r="T96" s="128">
        <f>SUM(T87:T95)</f>
        <v>245</v>
      </c>
      <c r="U96" s="128">
        <f>SUM(U87:U95)</f>
        <v>245</v>
      </c>
      <c r="X96" s="412"/>
      <c r="Y96" s="413"/>
      <c r="Z96" s="413"/>
      <c r="AA96" s="413"/>
      <c r="AB96" s="413"/>
      <c r="AC96" s="413"/>
      <c r="AD96" s="413"/>
      <c r="AE96" s="413"/>
      <c r="AF96" s="414"/>
      <c r="AG96" s="158"/>
      <c r="AH96" s="117"/>
    </row>
    <row r="97" spans="1:34">
      <c r="A97" s="117"/>
      <c r="B97" s="122"/>
      <c r="X97" s="412"/>
      <c r="Y97" s="413"/>
      <c r="Z97" s="413"/>
      <c r="AA97" s="413"/>
      <c r="AB97" s="413"/>
      <c r="AC97" s="413"/>
      <c r="AD97" s="413"/>
      <c r="AE97" s="413"/>
      <c r="AF97" s="414"/>
      <c r="AG97" s="158"/>
      <c r="AH97" s="117"/>
    </row>
    <row r="98" spans="1:34">
      <c r="A98" s="117"/>
      <c r="B98" s="122"/>
      <c r="P98" s="130" t="s">
        <v>634</v>
      </c>
      <c r="Q98" s="131"/>
      <c r="R98" s="131"/>
      <c r="S98" s="131"/>
      <c r="T98" s="131"/>
      <c r="U98" s="131"/>
      <c r="V98" s="131"/>
      <c r="X98" s="412"/>
      <c r="Y98" s="413"/>
      <c r="Z98" s="413"/>
      <c r="AA98" s="413"/>
      <c r="AB98" s="413"/>
      <c r="AC98" s="413"/>
      <c r="AD98" s="413"/>
      <c r="AE98" s="413"/>
      <c r="AF98" s="414"/>
      <c r="AG98" s="158"/>
      <c r="AH98" s="117"/>
    </row>
    <row r="99" spans="1:34">
      <c r="A99" s="117"/>
      <c r="B99" s="122"/>
      <c r="O99" s="160" t="s">
        <v>621</v>
      </c>
      <c r="P99" s="26" t="s">
        <v>217</v>
      </c>
      <c r="T99" s="162" t="s">
        <v>623</v>
      </c>
      <c r="X99" s="412"/>
      <c r="Y99" s="413"/>
      <c r="Z99" s="413"/>
      <c r="AA99" s="413"/>
      <c r="AB99" s="413"/>
      <c r="AC99" s="413"/>
      <c r="AD99" s="413"/>
      <c r="AE99" s="413"/>
      <c r="AF99" s="414"/>
      <c r="AG99" s="158"/>
      <c r="AH99" s="117"/>
    </row>
    <row r="100" spans="1:34">
      <c r="A100" s="117"/>
      <c r="B100" s="122"/>
      <c r="O100" s="160" t="s">
        <v>621</v>
      </c>
      <c r="P100" s="26" t="s">
        <v>216</v>
      </c>
      <c r="T100" s="162" t="s">
        <v>623</v>
      </c>
      <c r="X100" s="412"/>
      <c r="Y100" s="413"/>
      <c r="Z100" s="413"/>
      <c r="AA100" s="413"/>
      <c r="AB100" s="413"/>
      <c r="AC100" s="413"/>
      <c r="AD100" s="413"/>
      <c r="AE100" s="413"/>
      <c r="AF100" s="414"/>
      <c r="AG100" s="158"/>
      <c r="AH100" s="117"/>
    </row>
    <row r="101" spans="1:34">
      <c r="A101" s="117"/>
      <c r="B101" s="122"/>
      <c r="O101" s="160" t="s">
        <v>621</v>
      </c>
      <c r="P101" s="26" t="s">
        <v>214</v>
      </c>
      <c r="T101" s="162" t="s">
        <v>623</v>
      </c>
      <c r="X101" s="412"/>
      <c r="Y101" s="413"/>
      <c r="Z101" s="413"/>
      <c r="AA101" s="413"/>
      <c r="AB101" s="413"/>
      <c r="AC101" s="413"/>
      <c r="AD101" s="413"/>
      <c r="AE101" s="413"/>
      <c r="AF101" s="414"/>
      <c r="AG101" s="158"/>
      <c r="AH101" s="117"/>
    </row>
    <row r="102" spans="1:34">
      <c r="A102" s="117"/>
      <c r="B102" s="122"/>
      <c r="O102" s="160" t="s">
        <v>621</v>
      </c>
      <c r="P102" s="26" t="s">
        <v>213</v>
      </c>
      <c r="T102" s="162" t="s">
        <v>623</v>
      </c>
      <c r="X102" s="412"/>
      <c r="Y102" s="413"/>
      <c r="Z102" s="413"/>
      <c r="AA102" s="413"/>
      <c r="AB102" s="413"/>
      <c r="AC102" s="413"/>
      <c r="AD102" s="413"/>
      <c r="AE102" s="413"/>
      <c r="AF102" s="414"/>
      <c r="AG102" s="158"/>
      <c r="AH102" s="117"/>
    </row>
    <row r="103" spans="1:34">
      <c r="A103" s="117"/>
      <c r="B103" s="122"/>
      <c r="O103" s="160" t="s">
        <v>621</v>
      </c>
      <c r="P103" s="26" t="s">
        <v>218</v>
      </c>
      <c r="T103" s="162" t="s">
        <v>623</v>
      </c>
      <c r="X103" s="412"/>
      <c r="Y103" s="413"/>
      <c r="Z103" s="413"/>
      <c r="AA103" s="413"/>
      <c r="AB103" s="413"/>
      <c r="AC103" s="413"/>
      <c r="AD103" s="413"/>
      <c r="AE103" s="413"/>
      <c r="AF103" s="414"/>
      <c r="AG103" s="158"/>
      <c r="AH103" s="117"/>
    </row>
    <row r="104" spans="1:34">
      <c r="A104" s="117"/>
      <c r="B104" s="122"/>
      <c r="O104" s="160" t="s">
        <v>621</v>
      </c>
      <c r="P104" s="26" t="s">
        <v>219</v>
      </c>
      <c r="T104" s="162" t="s">
        <v>623</v>
      </c>
      <c r="X104" s="412"/>
      <c r="Y104" s="413"/>
      <c r="Z104" s="413"/>
      <c r="AA104" s="413"/>
      <c r="AB104" s="413"/>
      <c r="AC104" s="413"/>
      <c r="AD104" s="413"/>
      <c r="AE104" s="413"/>
      <c r="AF104" s="414"/>
      <c r="AG104" s="158"/>
      <c r="AH104" s="117"/>
    </row>
    <row r="105" spans="1:34">
      <c r="A105" s="117"/>
      <c r="B105" s="122"/>
      <c r="O105" s="160" t="s">
        <v>621</v>
      </c>
      <c r="P105" s="26" t="s">
        <v>220</v>
      </c>
      <c r="T105" s="162" t="s">
        <v>623</v>
      </c>
      <c r="X105" s="412"/>
      <c r="Y105" s="413"/>
      <c r="Z105" s="413"/>
      <c r="AA105" s="413"/>
      <c r="AB105" s="413"/>
      <c r="AC105" s="413"/>
      <c r="AD105" s="413"/>
      <c r="AE105" s="413"/>
      <c r="AF105" s="414"/>
      <c r="AG105" s="158"/>
      <c r="AH105" s="117"/>
    </row>
    <row r="106" spans="1:34">
      <c r="A106" s="117"/>
      <c r="B106" s="122"/>
      <c r="O106" s="160" t="s">
        <v>621</v>
      </c>
      <c r="P106" s="26" t="s">
        <v>215</v>
      </c>
      <c r="T106" s="162" t="s">
        <v>623</v>
      </c>
      <c r="X106" s="412"/>
      <c r="Y106" s="413"/>
      <c r="Z106" s="413"/>
      <c r="AA106" s="413"/>
      <c r="AB106" s="413"/>
      <c r="AC106" s="413"/>
      <c r="AD106" s="413"/>
      <c r="AE106" s="413"/>
      <c r="AF106" s="414"/>
      <c r="AG106" s="158"/>
      <c r="AH106" s="117"/>
    </row>
    <row r="107" spans="1:34">
      <c r="A107" s="117"/>
      <c r="B107" s="122"/>
      <c r="O107" s="160" t="s">
        <v>621</v>
      </c>
      <c r="P107" s="26" t="s">
        <v>182</v>
      </c>
      <c r="T107" s="254" t="s">
        <v>2003</v>
      </c>
      <c r="X107" s="412"/>
      <c r="Y107" s="413"/>
      <c r="Z107" s="413"/>
      <c r="AA107" s="413"/>
      <c r="AB107" s="413"/>
      <c r="AC107" s="413"/>
      <c r="AD107" s="413"/>
      <c r="AE107" s="413"/>
      <c r="AF107" s="414"/>
      <c r="AG107" s="158"/>
      <c r="AH107" s="117"/>
    </row>
    <row r="108" spans="1:34">
      <c r="A108" s="117"/>
      <c r="B108" s="122"/>
      <c r="O108" s="160" t="s">
        <v>621</v>
      </c>
      <c r="P108" s="177" t="s">
        <v>635</v>
      </c>
      <c r="T108" s="166" t="s">
        <v>636</v>
      </c>
      <c r="X108" s="412"/>
      <c r="Y108" s="413"/>
      <c r="Z108" s="413"/>
      <c r="AA108" s="413"/>
      <c r="AB108" s="413"/>
      <c r="AC108" s="413"/>
      <c r="AD108" s="413"/>
      <c r="AE108" s="413"/>
      <c r="AF108" s="414"/>
      <c r="AG108" s="158"/>
      <c r="AH108" s="117"/>
    </row>
    <row r="109" spans="1:34">
      <c r="A109" s="117"/>
      <c r="B109" s="122"/>
      <c r="P109" s="159"/>
      <c r="X109" s="412"/>
      <c r="Y109" s="413"/>
      <c r="Z109" s="413"/>
      <c r="AA109" s="413"/>
      <c r="AB109" s="413"/>
      <c r="AC109" s="413"/>
      <c r="AD109" s="413"/>
      <c r="AE109" s="413"/>
      <c r="AF109" s="414"/>
      <c r="AG109" s="158"/>
      <c r="AH109" s="117"/>
    </row>
    <row r="110" spans="1:34">
      <c r="A110" s="117"/>
      <c r="B110" s="122"/>
      <c r="P110" s="130" t="s">
        <v>637</v>
      </c>
      <c r="Q110" s="131"/>
      <c r="R110" s="131"/>
      <c r="S110" s="131"/>
      <c r="T110" s="131"/>
      <c r="U110" s="131"/>
      <c r="V110" s="131"/>
      <c r="X110" s="412"/>
      <c r="Y110" s="413"/>
      <c r="Z110" s="413"/>
      <c r="AA110" s="413"/>
      <c r="AB110" s="413"/>
      <c r="AC110" s="413"/>
      <c r="AD110" s="413"/>
      <c r="AE110" s="413"/>
      <c r="AF110" s="414"/>
      <c r="AG110" s="158"/>
      <c r="AH110" s="117"/>
    </row>
    <row r="111" spans="1:34">
      <c r="A111" s="117"/>
      <c r="B111" s="122"/>
      <c r="O111" s="160" t="s">
        <v>621</v>
      </c>
      <c r="P111" s="26" t="s">
        <v>638</v>
      </c>
      <c r="T111" s="162" t="s">
        <v>623</v>
      </c>
      <c r="X111" s="412"/>
      <c r="Y111" s="413"/>
      <c r="Z111" s="413"/>
      <c r="AA111" s="413"/>
      <c r="AB111" s="413"/>
      <c r="AC111" s="413"/>
      <c r="AD111" s="413"/>
      <c r="AE111" s="413"/>
      <c r="AF111" s="414"/>
      <c r="AG111" s="158"/>
      <c r="AH111" s="117"/>
    </row>
    <row r="112" spans="1:34">
      <c r="A112" s="117"/>
      <c r="B112" s="122"/>
      <c r="O112" s="160" t="s">
        <v>621</v>
      </c>
      <c r="P112" s="26" t="s">
        <v>312</v>
      </c>
      <c r="T112" s="162" t="s">
        <v>639</v>
      </c>
      <c r="X112" s="412"/>
      <c r="Y112" s="413"/>
      <c r="Z112" s="413"/>
      <c r="AA112" s="413"/>
      <c r="AB112" s="413"/>
      <c r="AC112" s="413"/>
      <c r="AD112" s="413"/>
      <c r="AE112" s="413"/>
      <c r="AF112" s="414"/>
      <c r="AG112" s="158"/>
      <c r="AH112" s="117"/>
    </row>
    <row r="113" spans="1:34">
      <c r="A113" s="117"/>
      <c r="B113" s="122"/>
      <c r="O113" s="160" t="s">
        <v>621</v>
      </c>
      <c r="P113" s="26" t="s">
        <v>326</v>
      </c>
      <c r="T113" s="162" t="s">
        <v>623</v>
      </c>
      <c r="X113" s="412"/>
      <c r="Y113" s="413"/>
      <c r="Z113" s="413"/>
      <c r="AA113" s="413"/>
      <c r="AB113" s="413"/>
      <c r="AC113" s="413"/>
      <c r="AD113" s="413"/>
      <c r="AE113" s="413"/>
      <c r="AF113" s="414"/>
      <c r="AG113" s="158"/>
      <c r="AH113" s="117"/>
    </row>
    <row r="114" spans="1:34">
      <c r="A114" s="117"/>
      <c r="B114" s="122"/>
      <c r="O114" s="160" t="s">
        <v>621</v>
      </c>
      <c r="P114" s="26" t="s">
        <v>334</v>
      </c>
      <c r="T114" s="389" t="s">
        <v>2068</v>
      </c>
      <c r="X114" s="412"/>
      <c r="Y114" s="413"/>
      <c r="Z114" s="413"/>
      <c r="AA114" s="413"/>
      <c r="AB114" s="413"/>
      <c r="AC114" s="413"/>
      <c r="AD114" s="413"/>
      <c r="AE114" s="413"/>
      <c r="AF114" s="414"/>
      <c r="AG114" s="158"/>
      <c r="AH114" s="117"/>
    </row>
    <row r="115" spans="1:34">
      <c r="A115" s="117"/>
      <c r="B115" s="122"/>
      <c r="O115" s="160"/>
      <c r="T115" s="161"/>
      <c r="X115" s="415"/>
      <c r="Y115" s="416"/>
      <c r="Z115" s="416"/>
      <c r="AA115" s="416"/>
      <c r="AB115" s="416"/>
      <c r="AC115" s="416"/>
      <c r="AD115" s="416"/>
      <c r="AE115" s="416"/>
      <c r="AF115" s="417"/>
      <c r="AG115" s="158"/>
      <c r="AH115" s="117"/>
    </row>
    <row r="116" spans="1:34">
      <c r="A116" s="117"/>
      <c r="B116" s="124"/>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6"/>
      <c r="AH116" s="117"/>
    </row>
    <row r="117" spans="1:34">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22.2">
      <c r="A118" s="117"/>
      <c r="B118" s="127" t="s">
        <v>2027</v>
      </c>
      <c r="C118" s="117"/>
      <c r="D118" s="117"/>
      <c r="E118" s="117"/>
      <c r="F118" s="117"/>
      <c r="G118" s="129" t="s">
        <v>26</v>
      </c>
      <c r="H118" s="129"/>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4.9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c r="A120" s="117"/>
      <c r="B120" s="119"/>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1"/>
      <c r="AH120" s="117"/>
    </row>
    <row r="121" spans="1:34">
      <c r="A121" s="117"/>
      <c r="B121" s="122"/>
      <c r="C121" s="155" t="s">
        <v>607</v>
      </c>
      <c r="G121" s="155" t="s">
        <v>608</v>
      </c>
      <c r="P121" s="130" t="s">
        <v>609</v>
      </c>
      <c r="Q121" s="131"/>
      <c r="R121" s="130"/>
      <c r="S121" s="131"/>
      <c r="T121" s="132">
        <f>T62</f>
        <v>45659</v>
      </c>
      <c r="U121" s="132">
        <f>U62</f>
        <v>45667</v>
      </c>
      <c r="V121" s="133" t="s">
        <v>610</v>
      </c>
      <c r="X121" s="156" t="s">
        <v>611</v>
      </c>
      <c r="AG121" s="123"/>
      <c r="AH121" s="117"/>
    </row>
    <row r="122" spans="1:34" ht="18" customHeight="1">
      <c r="A122" s="117"/>
      <c r="B122" s="122"/>
      <c r="P122" s="26" t="s">
        <v>612</v>
      </c>
      <c r="T122" s="26">
        <f>COUNTIFS(Table4[Status Anterior],'1. Status Resumo'!$P122,Table4[Sub-âmbito],'1. Status Resumo'!$G$118,Table4[Tipo de teste],"2. Campo")</f>
        <v>0</v>
      </c>
      <c r="U122" s="26">
        <f>COUNTIFS(Table4[Status Atual],'1. Status Resumo'!$P122,Table4[Sub-âmbito],'1. Status Resumo'!$G$118,Table4[Tipo de teste],"2. Campo")</f>
        <v>0</v>
      </c>
      <c r="V122" s="26">
        <f>U122-T122</f>
        <v>0</v>
      </c>
      <c r="X122" s="427" t="s">
        <v>2071</v>
      </c>
      <c r="Y122" s="428"/>
      <c r="Z122" s="428"/>
      <c r="AA122" s="428"/>
      <c r="AB122" s="428"/>
      <c r="AC122" s="428"/>
      <c r="AD122" s="428"/>
      <c r="AE122" s="428"/>
      <c r="AF122" s="428"/>
      <c r="AG122" s="163"/>
      <c r="AH122" s="117"/>
    </row>
    <row r="123" spans="1:34">
      <c r="A123" s="117"/>
      <c r="B123" s="122"/>
      <c r="P123" s="26" t="s">
        <v>613</v>
      </c>
      <c r="T123" s="26">
        <f>COUNTIFS(Table4[Status Anterior],'1. Status Resumo'!$P123,Table4[Sub-âmbito],'1. Status Resumo'!$G$118,Table4[Tipo de teste],"2. Campo")</f>
        <v>118</v>
      </c>
      <c r="U123" s="26">
        <f>COUNTIFS(Table4[Status Atual],'1. Status Resumo'!$P123,Table4[Sub-âmbito],'1. Status Resumo'!$G$118,Table4[Tipo de teste],"2. Campo")</f>
        <v>119</v>
      </c>
      <c r="V123" s="26">
        <f t="shared" ref="V123:V130" si="4">U123-T123</f>
        <v>1</v>
      </c>
      <c r="X123" s="428"/>
      <c r="Y123" s="428"/>
      <c r="Z123" s="428"/>
      <c r="AA123" s="428"/>
      <c r="AB123" s="428"/>
      <c r="AC123" s="428"/>
      <c r="AD123" s="428"/>
      <c r="AE123" s="428"/>
      <c r="AF123" s="428"/>
      <c r="AG123" s="163"/>
      <c r="AH123" s="117"/>
    </row>
    <row r="124" spans="1:34">
      <c r="A124" s="117"/>
      <c r="B124" s="122"/>
      <c r="P124" s="26" t="s">
        <v>1921</v>
      </c>
      <c r="T124" s="26">
        <f>COUNTIFS(Table4[Status Anterior],'1. Status Resumo'!$P124,Table4[Sub-âmbito],'1. Status Resumo'!$G$118,Table4[Tipo de teste],"2. Campo")</f>
        <v>9</v>
      </c>
      <c r="U124" s="26">
        <f>COUNTIFS(Table4[Status Atual],'1. Status Resumo'!$P124,Table4[Sub-âmbito],'1. Status Resumo'!$G$118,Table4[Tipo de teste],"2. Campo")</f>
        <v>3</v>
      </c>
      <c r="V124" s="26">
        <f t="shared" si="4"/>
        <v>-6</v>
      </c>
      <c r="X124" s="428"/>
      <c r="Y124" s="428"/>
      <c r="Z124" s="428"/>
      <c r="AA124" s="428"/>
      <c r="AB124" s="428"/>
      <c r="AC124" s="428"/>
      <c r="AD124" s="428"/>
      <c r="AE124" s="428"/>
      <c r="AF124" s="428"/>
      <c r="AG124" s="163"/>
      <c r="AH124" s="117"/>
    </row>
    <row r="125" spans="1:34" ht="17.7" customHeight="1">
      <c r="A125" s="117"/>
      <c r="B125" s="122"/>
      <c r="D125" s="399" t="str">
        <f>"# "&amp;U131</f>
        <v># 135</v>
      </c>
      <c r="E125" s="399"/>
      <c r="P125" s="26" t="s">
        <v>1922</v>
      </c>
      <c r="T125" s="26">
        <f>COUNTIFS(Table4[Status Anterior],'1. Status Resumo'!$P125,Table4[Sub-âmbito],'1. Status Resumo'!$G$118,Table4[Tipo de teste],"2. Campo")</f>
        <v>0</v>
      </c>
      <c r="U125" s="26">
        <f>COUNTIFS(Table4[Status Atual],'1. Status Resumo'!$P125,Table4[Sub-âmbito],'1. Status Resumo'!$G$118,Table4[Tipo de teste],"2. Campo")</f>
        <v>0</v>
      </c>
      <c r="V125" s="26">
        <f>U125-T125</f>
        <v>0</v>
      </c>
      <c r="X125" s="428"/>
      <c r="Y125" s="428"/>
      <c r="Z125" s="428"/>
      <c r="AA125" s="428"/>
      <c r="AB125" s="428"/>
      <c r="AC125" s="428"/>
      <c r="AD125" s="428"/>
      <c r="AE125" s="428"/>
      <c r="AF125" s="428"/>
      <c r="AG125" s="163"/>
      <c r="AH125" s="117"/>
    </row>
    <row r="126" spans="1:34" ht="17.7" customHeight="1">
      <c r="A126" s="117"/>
      <c r="B126" s="122"/>
      <c r="D126" s="399"/>
      <c r="E126" s="399"/>
      <c r="P126" s="26" t="s">
        <v>614</v>
      </c>
      <c r="T126" s="26">
        <f>COUNTIFS(Table4[Status Anterior],'1. Status Resumo'!$P126,Table4[Sub-âmbito],'1. Status Resumo'!$G$118,Table4[Tipo de teste],"2. Campo")</f>
        <v>0</v>
      </c>
      <c r="U126" s="26">
        <f>COUNTIFS(Table4[Status Atual],'1. Status Resumo'!$P126,Table4[Sub-âmbito],'1. Status Resumo'!$G$118,Table4[Tipo de teste],"2. Campo")</f>
        <v>10</v>
      </c>
      <c r="V126" s="26">
        <f t="shared" si="4"/>
        <v>10</v>
      </c>
      <c r="X126" s="428"/>
      <c r="Y126" s="428"/>
      <c r="Z126" s="428"/>
      <c r="AA126" s="428"/>
      <c r="AB126" s="428"/>
      <c r="AC126" s="428"/>
      <c r="AD126" s="428"/>
      <c r="AE126" s="428"/>
      <c r="AF126" s="428"/>
      <c r="AG126" s="163"/>
      <c r="AH126" s="117"/>
    </row>
    <row r="127" spans="1:34" ht="17.7" customHeight="1">
      <c r="A127" s="117"/>
      <c r="B127" s="122"/>
      <c r="D127" s="399"/>
      <c r="E127" s="399"/>
      <c r="P127" s="26" t="s">
        <v>615</v>
      </c>
      <c r="T127" s="26">
        <f>COUNTIFS(Table4[Status Anterior],'1. Status Resumo'!$P127,Table4[Sub-âmbito],'1. Status Resumo'!$G$118,Table4[Tipo de teste],"2. Campo")</f>
        <v>2</v>
      </c>
      <c r="U127" s="26">
        <f>COUNTIFS(Table4[Status Atual],'1. Status Resumo'!$P127,Table4[Sub-âmbito],'1. Status Resumo'!$G$118,Table4[Tipo de teste],"2. Campo")</f>
        <v>2</v>
      </c>
      <c r="V127" s="26">
        <f t="shared" si="4"/>
        <v>0</v>
      </c>
      <c r="X127" s="428"/>
      <c r="Y127" s="428"/>
      <c r="Z127" s="428"/>
      <c r="AA127" s="428"/>
      <c r="AB127" s="428"/>
      <c r="AC127" s="428"/>
      <c r="AD127" s="428"/>
      <c r="AE127" s="428"/>
      <c r="AF127" s="428"/>
      <c r="AG127" s="163"/>
      <c r="AH127" s="117"/>
    </row>
    <row r="128" spans="1:34">
      <c r="A128" s="117"/>
      <c r="B128" s="122"/>
      <c r="D128" s="399"/>
      <c r="E128" s="399"/>
      <c r="P128" s="26" t="s">
        <v>616</v>
      </c>
      <c r="R128" s="26" t="s">
        <v>617</v>
      </c>
      <c r="T128" s="26">
        <f>COUNTIFS(Table4[Status Anterior],'1. Status Resumo'!$P128,Table4[Sub-âmbito],'1. Status Resumo'!$G$118,Table4[Tipo de teste],"2. Campo")</f>
        <v>6</v>
      </c>
      <c r="U128" s="26">
        <f>COUNTIFS(Table4[Status Atual],'1. Status Resumo'!$P128,Table4[Sub-âmbito],'1. Status Resumo'!$G$118,Table4[Tipo de teste],"2. Campo")</f>
        <v>1</v>
      </c>
      <c r="V128" s="26">
        <f t="shared" si="4"/>
        <v>-5</v>
      </c>
      <c r="X128" s="428"/>
      <c r="Y128" s="428"/>
      <c r="Z128" s="428"/>
      <c r="AA128" s="428"/>
      <c r="AB128" s="428"/>
      <c r="AC128" s="428"/>
      <c r="AD128" s="428"/>
      <c r="AE128" s="428"/>
      <c r="AF128" s="428"/>
      <c r="AG128" s="163"/>
      <c r="AH128" s="117"/>
    </row>
    <row r="129" spans="1:34">
      <c r="A129" s="117"/>
      <c r="B129" s="122"/>
      <c r="D129" s="399"/>
      <c r="E129" s="399"/>
      <c r="P129" s="26" t="s">
        <v>618</v>
      </c>
      <c r="T129" s="26">
        <f>COUNTIFS(Table4[Status Anterior],'1. Status Resumo'!$P129,Table4[Sub-âmbito],'1. Status Resumo'!$G$118,Table4[Tipo de teste],"2. Campo")</f>
        <v>0</v>
      </c>
      <c r="U129" s="26">
        <f>COUNTIFS(Table4[Status Atual],'1. Status Resumo'!$P129,Table4[Sub-âmbito],'1. Status Resumo'!$G$118,Table4[Tipo de teste],"2. Campo")</f>
        <v>0</v>
      </c>
      <c r="V129" s="26">
        <f>U129-T129</f>
        <v>0</v>
      </c>
      <c r="X129" s="428"/>
      <c r="Y129" s="428"/>
      <c r="Z129" s="428"/>
      <c r="AA129" s="428"/>
      <c r="AB129" s="428"/>
      <c r="AC129" s="428"/>
      <c r="AD129" s="428"/>
      <c r="AE129" s="428"/>
      <c r="AF129" s="428"/>
      <c r="AG129" s="163"/>
      <c r="AH129" s="117"/>
    </row>
    <row r="130" spans="1:34">
      <c r="A130" s="117"/>
      <c r="B130" s="122"/>
      <c r="P130" s="26" t="s">
        <v>28</v>
      </c>
      <c r="T130" s="26">
        <f>COUNTIFS(Table4[Status Anterior],'1. Status Resumo'!$P130,Table4[Sub-âmbito],'1. Status Resumo'!$G$118,Table4[Tipo de teste],"2. Campo")</f>
        <v>0</v>
      </c>
      <c r="U130" s="26">
        <f>COUNTIFS(Table4[Status Atual],'1. Status Resumo'!$P130,Table4[Sub-âmbito],'1. Status Resumo'!$G$118,Table4[Tipo de teste],"2. Campo")</f>
        <v>0</v>
      </c>
      <c r="V130" s="26">
        <f t="shared" si="4"/>
        <v>0</v>
      </c>
      <c r="X130" s="428"/>
      <c r="Y130" s="428"/>
      <c r="Z130" s="428"/>
      <c r="AA130" s="428"/>
      <c r="AB130" s="428"/>
      <c r="AC130" s="428"/>
      <c r="AD130" s="428"/>
      <c r="AE130" s="428"/>
      <c r="AF130" s="428"/>
      <c r="AG130" s="163"/>
      <c r="AH130" s="117"/>
    </row>
    <row r="131" spans="1:34">
      <c r="A131" s="117"/>
      <c r="B131" s="122"/>
      <c r="T131" s="128">
        <f>SUM(T122:T130)</f>
        <v>135</v>
      </c>
      <c r="U131" s="128">
        <f>SUM(U122:U130)</f>
        <v>135</v>
      </c>
      <c r="X131" s="428"/>
      <c r="Y131" s="428"/>
      <c r="Z131" s="428"/>
      <c r="AA131" s="428"/>
      <c r="AB131" s="428"/>
      <c r="AC131" s="428"/>
      <c r="AD131" s="428"/>
      <c r="AE131" s="428"/>
      <c r="AF131" s="428"/>
      <c r="AG131" s="163"/>
      <c r="AH131" s="117"/>
    </row>
    <row r="132" spans="1:34">
      <c r="A132" s="117"/>
      <c r="B132" s="122"/>
      <c r="T132" s="128"/>
      <c r="U132" s="128"/>
      <c r="X132" s="428"/>
      <c r="Y132" s="428"/>
      <c r="Z132" s="428"/>
      <c r="AA132" s="428"/>
      <c r="AB132" s="428"/>
      <c r="AC132" s="428"/>
      <c r="AD132" s="428"/>
      <c r="AE132" s="428"/>
      <c r="AF132" s="428"/>
      <c r="AG132" s="163"/>
      <c r="AH132" s="117"/>
    </row>
    <row r="133" spans="1:34">
      <c r="A133" s="117"/>
      <c r="B133" s="122"/>
      <c r="P133" s="130" t="s">
        <v>619</v>
      </c>
      <c r="Q133" s="131"/>
      <c r="R133" s="131"/>
      <c r="S133" s="131"/>
      <c r="T133" s="131"/>
      <c r="U133" s="131"/>
      <c r="V133" s="131"/>
      <c r="X133" s="428"/>
      <c r="Y133" s="428"/>
      <c r="Z133" s="428"/>
      <c r="AA133" s="428"/>
      <c r="AB133" s="428"/>
      <c r="AC133" s="428"/>
      <c r="AD133" s="428"/>
      <c r="AE133" s="428"/>
      <c r="AF133" s="428"/>
      <c r="AG133" s="163"/>
      <c r="AH133" s="117"/>
    </row>
    <row r="134" spans="1:34">
      <c r="A134" s="117"/>
      <c r="B134" s="122"/>
      <c r="O134" s="160" t="s">
        <v>621</v>
      </c>
      <c r="P134" s="26" t="s">
        <v>380</v>
      </c>
      <c r="T134" s="206" t="s">
        <v>1923</v>
      </c>
      <c r="X134" s="428"/>
      <c r="Y134" s="428"/>
      <c r="Z134" s="428"/>
      <c r="AA134" s="428"/>
      <c r="AB134" s="428"/>
      <c r="AC134" s="428"/>
      <c r="AD134" s="428"/>
      <c r="AE134" s="428"/>
      <c r="AF134" s="428"/>
      <c r="AG134" s="163"/>
      <c r="AH134" s="117"/>
    </row>
    <row r="135" spans="1:34">
      <c r="A135" s="117"/>
      <c r="B135" s="122"/>
      <c r="O135" s="160" t="s">
        <v>621</v>
      </c>
      <c r="P135" s="26" t="s">
        <v>336</v>
      </c>
      <c r="T135" s="162" t="s">
        <v>2053</v>
      </c>
      <c r="X135" s="428"/>
      <c r="Y135" s="428"/>
      <c r="Z135" s="428"/>
      <c r="AA135" s="428"/>
      <c r="AB135" s="428"/>
      <c r="AC135" s="428"/>
      <c r="AD135" s="428"/>
      <c r="AE135" s="428"/>
      <c r="AF135" s="428"/>
      <c r="AG135" s="163"/>
      <c r="AH135" s="117"/>
    </row>
    <row r="136" spans="1:34">
      <c r="A136" s="117"/>
      <c r="B136" s="122"/>
      <c r="O136" s="160" t="s">
        <v>621</v>
      </c>
      <c r="P136" s="26" t="s">
        <v>369</v>
      </c>
      <c r="T136" s="398" t="s">
        <v>2070</v>
      </c>
      <c r="X136" s="428"/>
      <c r="Y136" s="428"/>
      <c r="Z136" s="428"/>
      <c r="AA136" s="428"/>
      <c r="AB136" s="428"/>
      <c r="AC136" s="428"/>
      <c r="AD136" s="428"/>
      <c r="AE136" s="428"/>
      <c r="AF136" s="428"/>
      <c r="AG136" s="163"/>
      <c r="AH136" s="117"/>
    </row>
    <row r="137" spans="1:34">
      <c r="A137" s="117"/>
      <c r="B137" s="122"/>
      <c r="O137" s="160" t="s">
        <v>621</v>
      </c>
      <c r="P137" s="26" t="s">
        <v>440</v>
      </c>
      <c r="T137" s="162" t="s">
        <v>623</v>
      </c>
      <c r="X137" s="428"/>
      <c r="Y137" s="428"/>
      <c r="Z137" s="428"/>
      <c r="AA137" s="428"/>
      <c r="AB137" s="428"/>
      <c r="AC137" s="428"/>
      <c r="AD137" s="428"/>
      <c r="AE137" s="428"/>
      <c r="AF137" s="428"/>
      <c r="AG137" s="163"/>
      <c r="AH137" s="117"/>
    </row>
    <row r="138" spans="1:34">
      <c r="A138" s="117"/>
      <c r="B138" s="122"/>
      <c r="O138" s="160" t="s">
        <v>621</v>
      </c>
      <c r="P138" s="26" t="s">
        <v>442</v>
      </c>
      <c r="T138" s="162" t="s">
        <v>623</v>
      </c>
      <c r="X138" s="428"/>
      <c r="Y138" s="428"/>
      <c r="Z138" s="428"/>
      <c r="AA138" s="428"/>
      <c r="AB138" s="428"/>
      <c r="AC138" s="428"/>
      <c r="AD138" s="428"/>
      <c r="AE138" s="428"/>
      <c r="AF138" s="428"/>
      <c r="AG138" s="163"/>
      <c r="AH138" s="117"/>
    </row>
    <row r="139" spans="1:34">
      <c r="A139" s="117"/>
      <c r="B139" s="122"/>
      <c r="O139" s="160" t="s">
        <v>621</v>
      </c>
      <c r="P139" s="26" t="s">
        <v>1948</v>
      </c>
      <c r="T139" s="254" t="s">
        <v>2003</v>
      </c>
      <c r="X139" s="428"/>
      <c r="Y139" s="428"/>
      <c r="Z139" s="428"/>
      <c r="AA139" s="428"/>
      <c r="AB139" s="428"/>
      <c r="AC139" s="428"/>
      <c r="AD139" s="428"/>
      <c r="AE139" s="428"/>
      <c r="AF139" s="428"/>
      <c r="AG139" s="163"/>
      <c r="AH139" s="117"/>
    </row>
    <row r="140" spans="1:34">
      <c r="A140" s="117"/>
      <c r="B140" s="122"/>
      <c r="O140" s="160" t="s">
        <v>621</v>
      </c>
      <c r="P140" s="26" t="s">
        <v>1949</v>
      </c>
      <c r="T140" s="162" t="s">
        <v>623</v>
      </c>
      <c r="X140" s="428"/>
      <c r="Y140" s="428"/>
      <c r="Z140" s="428"/>
      <c r="AA140" s="428"/>
      <c r="AB140" s="428"/>
      <c r="AC140" s="428"/>
      <c r="AD140" s="428"/>
      <c r="AE140" s="428"/>
      <c r="AF140" s="428"/>
      <c r="AG140" s="163"/>
      <c r="AH140" s="117"/>
    </row>
    <row r="141" spans="1:34">
      <c r="A141" s="117"/>
      <c r="B141" s="122"/>
      <c r="O141" s="160" t="s">
        <v>621</v>
      </c>
      <c r="P141" s="26" t="s">
        <v>393</v>
      </c>
      <c r="T141" s="162" t="s">
        <v>623</v>
      </c>
      <c r="X141" s="428"/>
      <c r="Y141" s="428"/>
      <c r="Z141" s="428"/>
      <c r="AA141" s="428"/>
      <c r="AB141" s="428"/>
      <c r="AC141" s="428"/>
      <c r="AD141" s="428"/>
      <c r="AE141" s="428"/>
      <c r="AF141" s="428"/>
      <c r="AG141" s="163"/>
      <c r="AH141" s="117"/>
    </row>
    <row r="142" spans="1:34">
      <c r="A142" s="117"/>
      <c r="B142" s="122"/>
      <c r="O142" s="160"/>
      <c r="T142" s="162"/>
      <c r="X142" s="428"/>
      <c r="Y142" s="428"/>
      <c r="Z142" s="428"/>
      <c r="AA142" s="428"/>
      <c r="AB142" s="428"/>
      <c r="AC142" s="428"/>
      <c r="AD142" s="428"/>
      <c r="AE142" s="428"/>
      <c r="AF142" s="428"/>
      <c r="AG142" s="163"/>
      <c r="AH142" s="117"/>
    </row>
    <row r="143" spans="1:34">
      <c r="A143" s="117"/>
      <c r="B143" s="122"/>
      <c r="X143" s="428"/>
      <c r="Y143" s="428"/>
      <c r="Z143" s="428"/>
      <c r="AA143" s="428"/>
      <c r="AB143" s="428"/>
      <c r="AC143" s="428"/>
      <c r="AD143" s="428"/>
      <c r="AE143" s="428"/>
      <c r="AF143" s="428"/>
      <c r="AG143" s="163"/>
      <c r="AH143" s="117"/>
    </row>
    <row r="144" spans="1:34">
      <c r="A144" s="117"/>
      <c r="B144" s="124"/>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6"/>
      <c r="AH144" s="117"/>
    </row>
    <row r="145" spans="1:34">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22.2" hidden="1"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4.95" hidden="1"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 hidden="1"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ht="17.7" hidden="1"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ht="17.7" hidden="1"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row>
    <row r="151" spans="1:34" ht="17.7" hidden="1"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row>
    <row r="152" spans="1:34" ht="17.7" hidden="1"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row>
    <row r="153" spans="1:34" ht="17.7" hidden="1"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row>
    <row r="154" spans="1:34" ht="17.7" hidden="1"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row>
    <row r="155" spans="1:34" ht="17.7" hidden="1"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row>
    <row r="156" spans="1:34" ht="17.7" hidden="1"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row>
    <row r="157" spans="1:34" ht="17.7" hidden="1"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17.7"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17.7"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ht="17.7" hidden="1"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s="204" customForma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s="204" customFormat="1" hidden="1"/>
    <row r="176" spans="1:34" s="204" customFormat="1" hidden="1"/>
    <row r="177" s="204" customFormat="1" hidden="1"/>
    <row r="178" s="204" customFormat="1"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sheetData>
  <sortState ref="M13:M20">
    <sortCondition ref="M13:M20"/>
  </sortState>
  <mergeCells count="9">
    <mergeCell ref="D125:E129"/>
    <mergeCell ref="B8:AG11"/>
    <mergeCell ref="X87:AF115"/>
    <mergeCell ref="X63:AF80"/>
    <mergeCell ref="D90:E92"/>
    <mergeCell ref="D66:E68"/>
    <mergeCell ref="X122:AF143"/>
    <mergeCell ref="X17:AF26"/>
    <mergeCell ref="X35:AF5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4"/>
  <sheetViews>
    <sheetView showGridLines="0" zoomScale="80" zoomScaleNormal="80" workbookViewId="0">
      <pane xSplit="3" ySplit="6" topLeftCell="E7" activePane="bottomRight" state="frozen"/>
      <selection pane="topRight" activeCell="D136" sqref="D136"/>
      <selection pane="bottomLeft" activeCell="D136" sqref="D136"/>
      <selection pane="bottomRight" activeCell="F382" sqref="F382"/>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640</v>
      </c>
      <c r="H6" s="212" t="s">
        <v>641</v>
      </c>
      <c r="I6" s="213" t="s">
        <v>22</v>
      </c>
      <c r="J6" s="214" t="s">
        <v>642</v>
      </c>
      <c r="K6" s="214" t="s">
        <v>643</v>
      </c>
      <c r="L6" s="215" t="s">
        <v>644</v>
      </c>
      <c r="M6" s="216" t="s">
        <v>1925</v>
      </c>
      <c r="N6" s="217" t="s">
        <v>1926</v>
      </c>
      <c r="O6" s="344" t="s">
        <v>2030</v>
      </c>
    </row>
    <row r="7" spans="1:15" ht="16.2" customHeight="1">
      <c r="A7" s="30" t="str">
        <f>E7&amp;F7</f>
        <v>ENERGY_CERTIFICATE_EST_INPUTn.a.</v>
      </c>
      <c r="B7" s="142" t="s">
        <v>26</v>
      </c>
      <c r="C7" s="138" t="s">
        <v>34</v>
      </c>
      <c r="D7" s="134" t="s">
        <v>36</v>
      </c>
      <c r="E7" s="135" t="s">
        <v>37</v>
      </c>
      <c r="F7" s="134" t="s">
        <v>38</v>
      </c>
      <c r="G7" s="136" t="str">
        <f>VLOOKUP(A7,Plano_V3!$A$26:$G$592,7,0)</f>
        <v>4. Validação EF</v>
      </c>
      <c r="H7" s="136" t="s">
        <v>618</v>
      </c>
      <c r="I7" s="143" t="s">
        <v>2067</v>
      </c>
      <c r="J7" s="153">
        <f>IF(VLOOKUP(A7,'Aux - pivots1'!$A:$E,3,0)=0, "",VLOOKUP(A7,'Aux - pivots1'!$A:$E,3,0))</f>
        <v>45510</v>
      </c>
      <c r="K7" s="153">
        <f>IF(VLOOKUP(A7,'Aux - pivots1'!$A:$E,4,0)=0, "",VLOOKUP(A7,'Aux - pivots1'!$A:$E,4,0))</f>
        <v>45624</v>
      </c>
      <c r="L7" s="153" t="str">
        <f>IF(VLOOKUP(A7,'Aux - pivots1'!$A:$E,5,0)=0, "",VLOOKUP(A7,'Aux - pivots1'!$A:$E,5,0))</f>
        <v/>
      </c>
      <c r="M7" s="209"/>
      <c r="N7" s="209"/>
      <c r="O7" s="343" t="s">
        <v>27</v>
      </c>
    </row>
    <row r="8" spans="1:15" ht="16.2" customHeight="1">
      <c r="A8" s="30" t="str">
        <f t="shared" ref="A8:A71" si="0">E8&amp;F8</f>
        <v>ENERGY_CERTIFICATE_EST_INPUTPROPERTY_BANK_ID</v>
      </c>
      <c r="B8" s="142" t="s">
        <v>26</v>
      </c>
      <c r="C8" s="138" t="s">
        <v>34</v>
      </c>
      <c r="D8" s="134" t="s">
        <v>40</v>
      </c>
      <c r="E8" s="135" t="s">
        <v>37</v>
      </c>
      <c r="F8" s="134" t="s">
        <v>41</v>
      </c>
      <c r="G8" s="136" t="str">
        <f>VLOOKUP(A8,Plano_V3!$A$26:$G$592,7,0)</f>
        <v>4. Validação EF</v>
      </c>
      <c r="H8" s="136" t="s">
        <v>618</v>
      </c>
      <c r="I8" s="143" t="s">
        <v>2067</v>
      </c>
      <c r="J8" s="153">
        <f>IF(VLOOKUP(A8,'Aux - pivots1'!$A:$E,3,0)=0, "",VLOOKUP(A8,'Aux - pivots1'!$A:$E,3,0))</f>
        <v>45510</v>
      </c>
      <c r="K8" s="153">
        <f>IF(VLOOKUP(A8,'Aux - pivots1'!$A:$E,4,0)=0, "",VLOOKUP(A8,'Aux - pivots1'!$A:$E,4,0))</f>
        <v>45624</v>
      </c>
      <c r="L8" s="153" t="str">
        <f>IF(VLOOKUP(A8,'Aux - pivots1'!$A:$E,5,0)=0, "",VLOOKUP(A8,'Aux - pivots1'!$A:$E,5,0))</f>
        <v/>
      </c>
      <c r="M8" s="208"/>
      <c r="N8" s="208"/>
      <c r="O8" s="343" t="s">
        <v>27</v>
      </c>
    </row>
    <row r="9" spans="1:15" ht="16.2" customHeight="1">
      <c r="A9" s="30" t="str">
        <f t="shared" si="0"/>
        <v>ENERGY_CERTIFICATE_EST_INPUTENCRYPTED_KEY</v>
      </c>
      <c r="B9" s="142" t="s">
        <v>26</v>
      </c>
      <c r="C9" s="138" t="s">
        <v>34</v>
      </c>
      <c r="D9" s="134" t="s">
        <v>40</v>
      </c>
      <c r="E9" s="135" t="s">
        <v>37</v>
      </c>
      <c r="F9" s="134" t="s">
        <v>42</v>
      </c>
      <c r="G9" s="136" t="str">
        <f>VLOOKUP(A9,Plano_V3!$A$26:$G$592,7,0)</f>
        <v>4. Validação EF</v>
      </c>
      <c r="H9" s="136" t="s">
        <v>618</v>
      </c>
      <c r="I9" s="143" t="s">
        <v>2067</v>
      </c>
      <c r="J9" s="153">
        <f>IF(VLOOKUP(A9,'Aux - pivots1'!$A:$E,3,0)=0, "",VLOOKUP(A9,'Aux - pivots1'!$A:$E,3,0))</f>
        <v>45510</v>
      </c>
      <c r="K9" s="153">
        <f>IF(VLOOKUP(A9,'Aux - pivots1'!$A:$E,4,0)=0, "",VLOOKUP(A9,'Aux - pivots1'!$A:$E,4,0))</f>
        <v>45624</v>
      </c>
      <c r="L9" s="153" t="str">
        <f>IF(VLOOKUP(A9,'Aux - pivots1'!$A:$E,5,0)=0, "",VLOOKUP(A9,'Aux - pivots1'!$A:$E,5,0))</f>
        <v/>
      </c>
      <c r="M9" s="208"/>
      <c r="N9" s="208"/>
      <c r="O9" s="343" t="s">
        <v>27</v>
      </c>
    </row>
    <row r="10" spans="1:15" ht="16.2" customHeight="1">
      <c r="A10" s="30" t="str">
        <f t="shared" si="0"/>
        <v>ENERGY_CERTIFICATE_EST_INPUTPROPERTY_BRANCH_CODE</v>
      </c>
      <c r="B10" s="142" t="s">
        <v>26</v>
      </c>
      <c r="C10" s="138" t="s">
        <v>34</v>
      </c>
      <c r="D10" s="134" t="s">
        <v>40</v>
      </c>
      <c r="E10" s="135" t="s">
        <v>37</v>
      </c>
      <c r="F10" s="134" t="s">
        <v>43</v>
      </c>
      <c r="G10" s="136" t="str">
        <f>VLOOKUP(A10,Plano_V3!$A$26:$G$592,7,0)</f>
        <v>4. Validação EF</v>
      </c>
      <c r="H10" s="136" t="s">
        <v>618</v>
      </c>
      <c r="I10" s="143" t="s">
        <v>2067</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3" t="s">
        <v>27</v>
      </c>
    </row>
    <row r="11" spans="1:15" ht="16.2" customHeight="1">
      <c r="A11" s="30" t="str">
        <f t="shared" si="0"/>
        <v>ENERGY_CERTIFICATE_EST_INPUTPROPERTY_CONTRACT_ID</v>
      </c>
      <c r="B11" s="142" t="s">
        <v>26</v>
      </c>
      <c r="C11" s="138" t="s">
        <v>34</v>
      </c>
      <c r="D11" s="134" t="s">
        <v>40</v>
      </c>
      <c r="E11" s="135" t="s">
        <v>37</v>
      </c>
      <c r="F11" s="134" t="s">
        <v>44</v>
      </c>
      <c r="G11" s="136" t="str">
        <f>VLOOKUP(A11,Plano_V3!$A$26:$G$592,7,0)</f>
        <v>4. Validação EF</v>
      </c>
      <c r="H11" s="136" t="s">
        <v>618</v>
      </c>
      <c r="I11" s="143" t="s">
        <v>2067</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3" t="s">
        <v>27</v>
      </c>
    </row>
    <row r="12" spans="1:15" ht="16.2" customHeight="1">
      <c r="A12" s="30" t="str">
        <f t="shared" si="0"/>
        <v>ENERGY_CERTIFICATE_EST_INPUTPROPERTY_REFERENCE_CODE</v>
      </c>
      <c r="B12" s="142" t="s">
        <v>26</v>
      </c>
      <c r="C12" s="138" t="s">
        <v>34</v>
      </c>
      <c r="D12" s="134" t="s">
        <v>40</v>
      </c>
      <c r="E12" s="135" t="s">
        <v>37</v>
      </c>
      <c r="F12" s="134" t="s">
        <v>45</v>
      </c>
      <c r="G12" s="136" t="str">
        <f>VLOOKUP(A12,Plano_V3!$A$26:$G$592,7,0)</f>
        <v>4. Validação EF</v>
      </c>
      <c r="H12" s="136" t="s">
        <v>618</v>
      </c>
      <c r="I12" s="143" t="s">
        <v>2067</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3" t="s">
        <v>27</v>
      </c>
    </row>
    <row r="13" spans="1:15" ht="16.2" customHeight="1">
      <c r="A13" s="30" t="str">
        <f t="shared" si="0"/>
        <v>ENERGY_CERTIFICATE_EST_INPUTDATA_EXTRACTION_DATE</v>
      </c>
      <c r="B13" s="142" t="s">
        <v>26</v>
      </c>
      <c r="C13" s="138" t="s">
        <v>34</v>
      </c>
      <c r="D13" s="134" t="s">
        <v>40</v>
      </c>
      <c r="E13" s="135" t="s">
        <v>37</v>
      </c>
      <c r="F13" s="134" t="s">
        <v>46</v>
      </c>
      <c r="G13" s="136" t="str">
        <f>VLOOKUP(A13,Plano_V3!$A$26:$G$592,7,0)</f>
        <v>4. Validação EF</v>
      </c>
      <c r="H13" s="136" t="s">
        <v>618</v>
      </c>
      <c r="I13" s="143" t="s">
        <v>2067</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3" t="s">
        <v>27</v>
      </c>
    </row>
    <row r="14" spans="1:15" ht="16.2" customHeight="1">
      <c r="A14" s="30" t="str">
        <f t="shared" si="0"/>
        <v>ENERGY_CERTIFICATE_EST_INPUTEPC</v>
      </c>
      <c r="B14" s="142" t="s">
        <v>26</v>
      </c>
      <c r="C14" s="138" t="s">
        <v>34</v>
      </c>
      <c r="D14" s="134" t="s">
        <v>40</v>
      </c>
      <c r="E14" s="135" t="s">
        <v>37</v>
      </c>
      <c r="F14" s="134" t="s">
        <v>47</v>
      </c>
      <c r="G14" s="136" t="str">
        <f>VLOOKUP(A14,Plano_V3!$A$26:$G$592,7,0)</f>
        <v>4. Validação EF</v>
      </c>
      <c r="H14" s="136" t="s">
        <v>618</v>
      </c>
      <c r="I14" s="143" t="s">
        <v>2067</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3" t="s">
        <v>27</v>
      </c>
    </row>
    <row r="15" spans="1:15" ht="16.2" customHeight="1">
      <c r="A15" s="30" t="str">
        <f t="shared" si="0"/>
        <v>ENERGY_CERTIFICATE_EST_INPUTDATA_PROVIDER</v>
      </c>
      <c r="B15" s="142" t="s">
        <v>26</v>
      </c>
      <c r="C15" s="138" t="s">
        <v>34</v>
      </c>
      <c r="D15" s="134" t="s">
        <v>40</v>
      </c>
      <c r="E15" s="135" t="s">
        <v>37</v>
      </c>
      <c r="F15" s="134" t="s">
        <v>48</v>
      </c>
      <c r="G15" s="136" t="str">
        <f>VLOOKUP(A15,Plano_V3!$A$26:$G$592,7,0)</f>
        <v>4. Validação EF</v>
      </c>
      <c r="H15" s="136" t="s">
        <v>618</v>
      </c>
      <c r="I15" s="143" t="s">
        <v>2067</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3" t="s">
        <v>27</v>
      </c>
    </row>
    <row r="16" spans="1:15" ht="16.2" customHeight="1">
      <c r="A16" s="30" t="str">
        <f t="shared" si="0"/>
        <v>ENERGY_CERTIFICATE_EST_INPUTACTUAL_VALUE_IND</v>
      </c>
      <c r="B16" s="142" t="s">
        <v>26</v>
      </c>
      <c r="C16" s="138" t="s">
        <v>34</v>
      </c>
      <c r="D16" s="134" t="s">
        <v>40</v>
      </c>
      <c r="E16" s="135" t="s">
        <v>37</v>
      </c>
      <c r="F16" s="134" t="s">
        <v>49</v>
      </c>
      <c r="G16" s="136" t="str">
        <f>VLOOKUP(A16,Plano_V3!$A$26:$G$592,7,0)</f>
        <v>4. Validação EF</v>
      </c>
      <c r="H16" s="136" t="s">
        <v>618</v>
      </c>
      <c r="I16" s="143" t="s">
        <v>2067</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3" t="s">
        <v>27</v>
      </c>
    </row>
    <row r="17" spans="1:15" ht="16.2" customHeight="1">
      <c r="A17" s="30" t="str">
        <f t="shared" si="0"/>
        <v>ENERGY_CERTIFICATE_EST_INPUTQUALITY_SCORE</v>
      </c>
      <c r="B17" s="142" t="s">
        <v>26</v>
      </c>
      <c r="C17" s="138" t="s">
        <v>34</v>
      </c>
      <c r="D17" s="134" t="s">
        <v>40</v>
      </c>
      <c r="E17" s="135" t="s">
        <v>37</v>
      </c>
      <c r="F17" s="134" t="s">
        <v>50</v>
      </c>
      <c r="G17" s="136" t="str">
        <f>VLOOKUP(A17,Plano_V3!$A$26:$G$592,7,0)</f>
        <v>4. Validação EF</v>
      </c>
      <c r="H17" s="136" t="s">
        <v>618</v>
      </c>
      <c r="I17" s="143" t="s">
        <v>2067</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3" t="s">
        <v>27</v>
      </c>
    </row>
    <row r="18" spans="1:15" ht="16.2" customHeight="1">
      <c r="A18" s="30" t="str">
        <f t="shared" si="0"/>
        <v>ENERGY_CERTIFICATE_EST_INPUTENERGY_CONSUMPTION_VALUE_YEAR</v>
      </c>
      <c r="B18" s="142" t="s">
        <v>26</v>
      </c>
      <c r="C18" s="138" t="s">
        <v>34</v>
      </c>
      <c r="D18" s="134" t="s">
        <v>40</v>
      </c>
      <c r="E18" s="135" t="s">
        <v>37</v>
      </c>
      <c r="F18" s="134" t="s">
        <v>51</v>
      </c>
      <c r="G18" s="136" t="str">
        <f>VLOOKUP(A18,Plano_V3!$A$26:$G$592,7,0)</f>
        <v>4. Validação EF</v>
      </c>
      <c r="H18" s="136" t="s">
        <v>618</v>
      </c>
      <c r="I18" s="143" t="s">
        <v>2067</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3" t="s">
        <v>27</v>
      </c>
    </row>
    <row r="19" spans="1:15" ht="16.2" customHeight="1">
      <c r="A19" s="30" t="str">
        <f t="shared" si="0"/>
        <v>ENERGY_CERTIFICATE_EST_INPUTCARBON_EMISSION_VALUE_YEAR</v>
      </c>
      <c r="B19" s="142" t="s">
        <v>26</v>
      </c>
      <c r="C19" s="138" t="s">
        <v>34</v>
      </c>
      <c r="D19" s="134" t="s">
        <v>40</v>
      </c>
      <c r="E19" s="135" t="s">
        <v>37</v>
      </c>
      <c r="F19" s="134" t="s">
        <v>52</v>
      </c>
      <c r="G19" s="136" t="str">
        <f>VLOOKUP(A19,Plano_V3!$A$26:$G$592,7,0)</f>
        <v>4. Validação EF</v>
      </c>
      <c r="H19" s="136" t="s">
        <v>618</v>
      </c>
      <c r="I19" s="143" t="s">
        <v>2067</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3" t="s">
        <v>27</v>
      </c>
    </row>
    <row r="20" spans="1:15" ht="16.2" hidden="1" customHeight="1">
      <c r="A20" s="30" t="str">
        <f t="shared" si="0"/>
        <v>PROCESSn.a.</v>
      </c>
      <c r="B20" s="142" t="s">
        <v>26</v>
      </c>
      <c r="C20" s="138" t="s">
        <v>54</v>
      </c>
      <c r="D20" s="134" t="s">
        <v>36</v>
      </c>
      <c r="E20" s="135" t="s">
        <v>55</v>
      </c>
      <c r="F20" s="134" t="s">
        <v>38</v>
      </c>
      <c r="G20" s="136" t="str">
        <f>VLOOKUP(A20,Plano_V3!$A$26:$G$592,7,0)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3" t="s">
        <v>27</v>
      </c>
    </row>
    <row r="21" spans="1:15" ht="16.2" hidden="1" customHeight="1">
      <c r="A21" s="30" t="str">
        <f t="shared" si="0"/>
        <v>PROCESSPROCESS_BANK_ID</v>
      </c>
      <c r="B21" s="142" t="s">
        <v>26</v>
      </c>
      <c r="C21" s="138" t="s">
        <v>54</v>
      </c>
      <c r="D21" s="134" t="s">
        <v>40</v>
      </c>
      <c r="E21" s="135" t="s">
        <v>55</v>
      </c>
      <c r="F21" s="134" t="s">
        <v>57</v>
      </c>
      <c r="G21" s="136" t="str">
        <f>VLOOKUP(A21,Plano_V3!$A$26:$G$592,7,0)</f>
        <v>1. Concluído</v>
      </c>
      <c r="H21" s="136" t="s">
        <v>613</v>
      </c>
      <c r="I21" s="154" t="s">
        <v>645</v>
      </c>
      <c r="J21" s="153" t="str">
        <f>IF(VLOOKUP(A21,'Aux - pivots1'!$A:$E,3,0)=0, "",VLOOKUP(A21,'Aux - pivots1'!$A:$E,3,0))</f>
        <v/>
      </c>
      <c r="K21" s="153" t="str">
        <f>IF(VLOOKUP(A21,'Aux - pivots1'!$A:$E,4,0)=0, "",VLOOKUP(A21,'Aux - pivots1'!$A:$E,4,0))</f>
        <v/>
      </c>
      <c r="L21" s="153" t="str">
        <f>IF(VLOOKUP(A21,'Aux - pivots1'!$A:$E,5,0)=0, "",VLOOKUP(A21,'Aux - pivots1'!$A:$E,5,0))</f>
        <v/>
      </c>
      <c r="M21" s="208"/>
      <c r="N21" s="208"/>
      <c r="O21" s="343" t="s">
        <v>27</v>
      </c>
    </row>
    <row r="22" spans="1:15"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613</v>
      </c>
      <c r="I22" s="154" t="s">
        <v>645</v>
      </c>
      <c r="J22" s="153" t="str">
        <f>IF(VLOOKUP(A22,'Aux - pivots1'!$A:$E,3,0)=0, "",VLOOKUP(A22,'Aux - pivots1'!$A:$E,3,0))</f>
        <v/>
      </c>
      <c r="K22" s="153" t="str">
        <f>IF(VLOOKUP(A22,'Aux - pivots1'!$A:$E,4,0)=0, "",VLOOKUP(A22,'Aux - pivots1'!$A:$E,4,0))</f>
        <v/>
      </c>
      <c r="L22" s="153" t="str">
        <f>IF(VLOOKUP(A22,'Aux - pivots1'!$A:$E,5,0)=0, "",VLOOKUP(A22,'Aux - pivots1'!$A:$E,5,0))</f>
        <v/>
      </c>
      <c r="M22" s="208"/>
      <c r="N22" s="208"/>
      <c r="O22" s="343" t="s">
        <v>27</v>
      </c>
    </row>
    <row r="23" spans="1:15"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613</v>
      </c>
      <c r="I23" s="154" t="s">
        <v>645</v>
      </c>
      <c r="J23" s="153" t="str">
        <f>IF(VLOOKUP(A23,'Aux - pivots1'!$A:$E,3,0)=0, "",VLOOKUP(A23,'Aux - pivots1'!$A:$E,3,0))</f>
        <v/>
      </c>
      <c r="K23" s="153" t="str">
        <f>IF(VLOOKUP(A23,'Aux - pivots1'!$A:$E,4,0)=0, "",VLOOKUP(A23,'Aux - pivots1'!$A:$E,4,0))</f>
        <v/>
      </c>
      <c r="L23" s="153" t="str">
        <f>IF(VLOOKUP(A23,'Aux - pivots1'!$A:$E,5,0)=0, "",VLOOKUP(A23,'Aux - pivots1'!$A:$E,5,0))</f>
        <v/>
      </c>
      <c r="M23" s="208"/>
      <c r="N23" s="208"/>
      <c r="O23" s="343" t="s">
        <v>27</v>
      </c>
    </row>
    <row r="24" spans="1:15" ht="16.2" hidden="1" customHeight="1">
      <c r="A24" s="30" t="str">
        <f t="shared" si="0"/>
        <v>PROCESScod_estd_prcs</v>
      </c>
      <c r="B24" s="142" t="s">
        <v>26</v>
      </c>
      <c r="C24" s="138" t="s">
        <v>54</v>
      </c>
      <c r="D24" s="134" t="s">
        <v>40</v>
      </c>
      <c r="E24" s="135" t="s">
        <v>55</v>
      </c>
      <c r="F24" s="134" t="s">
        <v>60</v>
      </c>
      <c r="G24" s="136" t="str">
        <f>VLOOKUP(A24,Plano_V3!$A$26:$G$592,7,0)</f>
        <v>0. Cancelado</v>
      </c>
      <c r="H24" s="136" t="s">
        <v>612</v>
      </c>
      <c r="I24" s="143" t="s">
        <v>646</v>
      </c>
      <c r="J24" s="153" t="str">
        <f>IF(VLOOKUP(A24,'Aux - pivots1'!$A:$E,3,0)=0, "",VLOOKUP(A24,'Aux - pivots1'!$A:$E,3,0))</f>
        <v/>
      </c>
      <c r="K24" s="153" t="str">
        <f>IF(VLOOKUP(A24,'Aux - pivots1'!$A:$E,4,0)=0, "",VLOOKUP(A24,'Aux - pivots1'!$A:$E,4,0))</f>
        <v/>
      </c>
      <c r="L24" s="153" t="str">
        <f>IF(VLOOKUP(A24,'Aux - pivots1'!$A:$E,5,0)=0, "",VLOOKUP(A24,'Aux - pivots1'!$A:$E,5,0))</f>
        <v/>
      </c>
      <c r="M24" s="208"/>
      <c r="N24" s="208"/>
      <c r="O24" s="343" t="s">
        <v>27</v>
      </c>
    </row>
    <row r="25" spans="1:15" ht="16.2" hidden="1" customHeight="1">
      <c r="A25" s="30" t="str">
        <f t="shared" si="0"/>
        <v>PROCESSGUARANTEE_CODE</v>
      </c>
      <c r="B25" s="142" t="s">
        <v>26</v>
      </c>
      <c r="C25" s="138" t="s">
        <v>54</v>
      </c>
      <c r="D25" s="134" t="s">
        <v>40</v>
      </c>
      <c r="E25" s="135" t="s">
        <v>55</v>
      </c>
      <c r="F25" s="134" t="s">
        <v>61</v>
      </c>
      <c r="G25" s="136" t="str">
        <f>VLOOKUP(A25,Plano_V3!$A$26:$G$592,7,0)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3" t="s">
        <v>27</v>
      </c>
    </row>
    <row r="26" spans="1:15" ht="16.2" hidden="1" customHeight="1">
      <c r="A26" s="30" t="str">
        <f t="shared" si="0"/>
        <v>PROCESSCURRENCY_CODE</v>
      </c>
      <c r="B26" s="142" t="s">
        <v>26</v>
      </c>
      <c r="C26" s="138" t="s">
        <v>54</v>
      </c>
      <c r="D26" s="134" t="s">
        <v>40</v>
      </c>
      <c r="E26" s="135" t="s">
        <v>55</v>
      </c>
      <c r="F26" s="134" t="s">
        <v>62</v>
      </c>
      <c r="G26" s="136" t="str">
        <f>VLOOKUP(A26,Plano_V3!$A$26:$G$592,7,0)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3" t="s">
        <v>27</v>
      </c>
    </row>
    <row r="27" spans="1:15"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3" t="s">
        <v>27</v>
      </c>
    </row>
    <row r="28" spans="1:15"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3" t="s">
        <v>27</v>
      </c>
    </row>
    <row r="29" spans="1:15"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3" t="s">
        <v>27</v>
      </c>
    </row>
    <row r="30" spans="1:15"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3" t="s">
        <v>27</v>
      </c>
    </row>
    <row r="31" spans="1:15"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3" t="s">
        <v>27</v>
      </c>
    </row>
    <row r="32" spans="1:15"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3" t="s">
        <v>27</v>
      </c>
    </row>
    <row r="33" spans="1:15" ht="16.2" hidden="1" customHeight="1">
      <c r="A33" s="30" t="str">
        <f t="shared" si="0"/>
        <v>PROCESSPROCESS_DUE_DATE</v>
      </c>
      <c r="B33" s="142" t="s">
        <v>26</v>
      </c>
      <c r="C33" s="138" t="s">
        <v>54</v>
      </c>
      <c r="D33" s="134" t="s">
        <v>40</v>
      </c>
      <c r="E33" s="135" t="s">
        <v>55</v>
      </c>
      <c r="F33" s="134" t="s">
        <v>69</v>
      </c>
      <c r="G33" s="136" t="str">
        <f>VLOOKUP(A33,Plano_V3!$A$26:$G$592,7,0)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3" t="s">
        <v>27</v>
      </c>
    </row>
    <row r="34" spans="1:15" ht="16.2" hidden="1" customHeight="1">
      <c r="A34" s="30" t="str">
        <f t="shared" si="0"/>
        <v>PROCESSmontante_eur</v>
      </c>
      <c r="B34" s="142" t="s">
        <v>26</v>
      </c>
      <c r="C34" s="138" t="s">
        <v>54</v>
      </c>
      <c r="D34" s="134" t="s">
        <v>40</v>
      </c>
      <c r="E34" s="135" t="s">
        <v>55</v>
      </c>
      <c r="F34" s="134" t="s">
        <v>70</v>
      </c>
      <c r="G34" s="136" t="str">
        <f>VLOOKUP(A34,Plano_V3!$A$26:$G$592,7,0)</f>
        <v>0. Cancelado</v>
      </c>
      <c r="H34" s="136" t="s">
        <v>612</v>
      </c>
      <c r="I34" s="143" t="s">
        <v>646</v>
      </c>
      <c r="J34" s="153" t="str">
        <f>IF(VLOOKUP(A34,'Aux - pivots1'!$A:$E,3,0)=0, "",VLOOKUP(A34,'Aux - pivots1'!$A:$E,3,0))</f>
        <v/>
      </c>
      <c r="K34" s="153" t="str">
        <f>IF(VLOOKUP(A34,'Aux - pivots1'!$A:$E,4,0)=0, "",VLOOKUP(A34,'Aux - pivots1'!$A:$E,4,0))</f>
        <v/>
      </c>
      <c r="L34" s="153" t="str">
        <f>IF(VLOOKUP(A34,'Aux - pivots1'!$A:$E,5,0)=0, "",VLOOKUP(A34,'Aux - pivots1'!$A:$E,5,0))</f>
        <v/>
      </c>
      <c r="M34" s="208"/>
      <c r="N34" s="208"/>
      <c r="O34" s="343" t="s">
        <v>27</v>
      </c>
    </row>
    <row r="35" spans="1:15" ht="16.2" hidden="1" customHeight="1">
      <c r="A35" s="30" t="str">
        <f t="shared" si="0"/>
        <v>PROCESSmontante_org</v>
      </c>
      <c r="B35" s="142" t="s">
        <v>26</v>
      </c>
      <c r="C35" s="138" t="s">
        <v>54</v>
      </c>
      <c r="D35" s="134" t="s">
        <v>40</v>
      </c>
      <c r="E35" s="135" t="s">
        <v>55</v>
      </c>
      <c r="F35" s="134" t="s">
        <v>71</v>
      </c>
      <c r="G35" s="136" t="str">
        <f>VLOOKUP(A35,Plano_V3!$A$26:$G$592,7,0)</f>
        <v>0. Cancelado</v>
      </c>
      <c r="H35" s="136" t="s">
        <v>612</v>
      </c>
      <c r="I35" s="143" t="s">
        <v>646</v>
      </c>
      <c r="J35" s="153" t="str">
        <f>IF(VLOOKUP(A35,'Aux - pivots1'!$A:$E,3,0)=0, "",VLOOKUP(A35,'Aux - pivots1'!$A:$E,3,0))</f>
        <v/>
      </c>
      <c r="K35" s="153" t="str">
        <f>IF(VLOOKUP(A35,'Aux - pivots1'!$A:$E,4,0)=0, "",VLOOKUP(A35,'Aux - pivots1'!$A:$E,4,0))</f>
        <v/>
      </c>
      <c r="L35" s="153" t="str">
        <f>IF(VLOOKUP(A35,'Aux - pivots1'!$A:$E,5,0)=0, "",VLOOKUP(A35,'Aux - pivots1'!$A:$E,5,0))</f>
        <v/>
      </c>
      <c r="M35" s="208"/>
      <c r="N35" s="208"/>
      <c r="O35" s="343" t="s">
        <v>27</v>
      </c>
    </row>
    <row r="36" spans="1:15" ht="16.2" hidden="1" customHeight="1">
      <c r="A36" s="30" t="str">
        <f t="shared" si="0"/>
        <v>PROCESSorigem</v>
      </c>
      <c r="B36" s="142" t="s">
        <v>26</v>
      </c>
      <c r="C36" s="138" t="s">
        <v>54</v>
      </c>
      <c r="D36" s="134" t="s">
        <v>40</v>
      </c>
      <c r="E36" s="135" t="s">
        <v>55</v>
      </c>
      <c r="F36" s="134" t="s">
        <v>72</v>
      </c>
      <c r="G36" s="136" t="str">
        <f>VLOOKUP(A36,Plano_V3!$A$26:$G$592,7,0)</f>
        <v>0. Cancelado</v>
      </c>
      <c r="H36" s="136" t="s">
        <v>612</v>
      </c>
      <c r="I36" s="143" t="s">
        <v>647</v>
      </c>
      <c r="J36" s="153" t="str">
        <f>IF(VLOOKUP(A36,'Aux - pivots1'!$A:$E,3,0)=0, "",VLOOKUP(A36,'Aux - pivots1'!$A:$E,3,0))</f>
        <v/>
      </c>
      <c r="K36" s="153" t="str">
        <f>IF(VLOOKUP(A36,'Aux - pivots1'!$A:$E,4,0)=0, "",VLOOKUP(A36,'Aux - pivots1'!$A:$E,4,0))</f>
        <v/>
      </c>
      <c r="L36" s="153" t="str">
        <f>IF(VLOOKUP(A36,'Aux - pivots1'!$A:$E,5,0)=0, "",VLOOKUP(A36,'Aux - pivots1'!$A:$E,5,0))</f>
        <v/>
      </c>
      <c r="M36" s="208"/>
      <c r="N36" s="208"/>
      <c r="O36" s="343" t="s">
        <v>27</v>
      </c>
    </row>
    <row r="37" spans="1:15" ht="16.2" hidden="1" customHeight="1">
      <c r="A37" s="30" t="str">
        <f t="shared" si="0"/>
        <v>PROCESSDATA_DATE_PART</v>
      </c>
      <c r="B37" s="142" t="s">
        <v>26</v>
      </c>
      <c r="C37" s="138" t="s">
        <v>54</v>
      </c>
      <c r="D37" s="134" t="s">
        <v>40</v>
      </c>
      <c r="E37" s="135" t="s">
        <v>55</v>
      </c>
      <c r="F37" s="134" t="s">
        <v>73</v>
      </c>
      <c r="G37" s="136" t="str">
        <f>VLOOKUP(A37,Plano_V3!$A$26:$G$592,7,0)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3" t="s">
        <v>27</v>
      </c>
    </row>
    <row r="38" spans="1:15"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3" t="s">
        <v>27</v>
      </c>
    </row>
    <row r="39" spans="1:15"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613</v>
      </c>
      <c r="I39" s="154" t="s">
        <v>645</v>
      </c>
      <c r="J39" s="153" t="str">
        <f>IF(VLOOKUP(A39,'Aux - pivots1'!$A:$E,3,0)=0, "",VLOOKUP(A39,'Aux - pivots1'!$A:$E,3,0))</f>
        <v/>
      </c>
      <c r="K39" s="153" t="str">
        <f>IF(VLOOKUP(A39,'Aux - pivots1'!$A:$E,4,0)=0, "",VLOOKUP(A39,'Aux - pivots1'!$A:$E,4,0))</f>
        <v/>
      </c>
      <c r="L39" s="153" t="str">
        <f>IF(VLOOKUP(A39,'Aux - pivots1'!$A:$E,5,0)=0, "",VLOOKUP(A39,'Aux - pivots1'!$A:$E,5,0))</f>
        <v/>
      </c>
      <c r="M39" s="208"/>
      <c r="N39" s="208"/>
      <c r="O39" s="343" t="s">
        <v>27</v>
      </c>
    </row>
    <row r="40" spans="1:15"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613</v>
      </c>
      <c r="I40" s="154" t="s">
        <v>645</v>
      </c>
      <c r="J40" s="153" t="str">
        <f>IF(VLOOKUP(A40,'Aux - pivots1'!$A:$E,3,0)=0, "",VLOOKUP(A40,'Aux - pivots1'!$A:$E,3,0))</f>
        <v/>
      </c>
      <c r="K40" s="153" t="str">
        <f>IF(VLOOKUP(A40,'Aux - pivots1'!$A:$E,4,0)=0, "",VLOOKUP(A40,'Aux - pivots1'!$A:$E,4,0))</f>
        <v/>
      </c>
      <c r="L40" s="153" t="str">
        <f>IF(VLOOKUP(A40,'Aux - pivots1'!$A:$E,5,0)=0, "",VLOOKUP(A40,'Aux - pivots1'!$A:$E,5,0))</f>
        <v/>
      </c>
      <c r="M40" s="208"/>
      <c r="N40" s="208"/>
      <c r="O40" s="343" t="s">
        <v>27</v>
      </c>
    </row>
    <row r="41" spans="1:15"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613</v>
      </c>
      <c r="I41" s="154" t="s">
        <v>645</v>
      </c>
      <c r="J41" s="153" t="str">
        <f>IF(VLOOKUP(A41,'Aux - pivots1'!$A:$E,3,0)=0, "",VLOOKUP(A41,'Aux - pivots1'!$A:$E,3,0))</f>
        <v/>
      </c>
      <c r="K41" s="153" t="str">
        <f>IF(VLOOKUP(A41,'Aux - pivots1'!$A:$E,4,0)=0, "",VLOOKUP(A41,'Aux - pivots1'!$A:$E,4,0))</f>
        <v/>
      </c>
      <c r="L41" s="153" t="str">
        <f>IF(VLOOKUP(A41,'Aux - pivots1'!$A:$E,5,0)=0, "",VLOOKUP(A41,'Aux - pivots1'!$A:$E,5,0))</f>
        <v/>
      </c>
      <c r="M41" s="208"/>
      <c r="N41" s="208"/>
      <c r="O41" s="343" t="s">
        <v>27</v>
      </c>
    </row>
    <row r="42" spans="1:15"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613</v>
      </c>
      <c r="I42" s="154" t="s">
        <v>645</v>
      </c>
      <c r="J42" s="153" t="str">
        <f>IF(VLOOKUP(A42,'Aux - pivots1'!$A:$E,3,0)=0, "",VLOOKUP(A42,'Aux - pivots1'!$A:$E,3,0))</f>
        <v/>
      </c>
      <c r="K42" s="153" t="str">
        <f>IF(VLOOKUP(A42,'Aux - pivots1'!$A:$E,4,0)=0, "",VLOOKUP(A42,'Aux - pivots1'!$A:$E,4,0))</f>
        <v/>
      </c>
      <c r="L42" s="153" t="str">
        <f>IF(VLOOKUP(A42,'Aux - pivots1'!$A:$E,5,0)=0, "",VLOOKUP(A42,'Aux - pivots1'!$A:$E,5,0))</f>
        <v/>
      </c>
      <c r="M42" s="208"/>
      <c r="N42" s="208"/>
      <c r="O42" s="343" t="s">
        <v>27</v>
      </c>
    </row>
    <row r="43" spans="1:15"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613</v>
      </c>
      <c r="I43" s="154" t="s">
        <v>645</v>
      </c>
      <c r="J43" s="153" t="str">
        <f>IF(VLOOKUP(A43,'Aux - pivots1'!$A:$E,3,0)=0, "",VLOOKUP(A43,'Aux - pivots1'!$A:$E,3,0))</f>
        <v/>
      </c>
      <c r="K43" s="153" t="str">
        <f>IF(VLOOKUP(A43,'Aux - pivots1'!$A:$E,4,0)=0, "",VLOOKUP(A43,'Aux - pivots1'!$A:$E,4,0))</f>
        <v/>
      </c>
      <c r="L43" s="153" t="str">
        <f>IF(VLOOKUP(A43,'Aux - pivots1'!$A:$E,5,0)=0, "",VLOOKUP(A43,'Aux - pivots1'!$A:$E,5,0))</f>
        <v/>
      </c>
      <c r="M43" s="208"/>
      <c r="N43" s="208"/>
      <c r="O43" s="343" t="s">
        <v>27</v>
      </c>
    </row>
    <row r="44" spans="1:15"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613</v>
      </c>
      <c r="I44" s="154" t="s">
        <v>645</v>
      </c>
      <c r="J44" s="153" t="str">
        <f>IF(VLOOKUP(A44,'Aux - pivots1'!$A:$E,3,0)=0, "",VLOOKUP(A44,'Aux - pivots1'!$A:$E,3,0))</f>
        <v/>
      </c>
      <c r="K44" s="153" t="str">
        <f>IF(VLOOKUP(A44,'Aux - pivots1'!$A:$E,4,0)=0, "",VLOOKUP(A44,'Aux - pivots1'!$A:$E,4,0))</f>
        <v/>
      </c>
      <c r="L44" s="153" t="str">
        <f>IF(VLOOKUP(A44,'Aux - pivots1'!$A:$E,5,0)=0, "",VLOOKUP(A44,'Aux - pivots1'!$A:$E,5,0))</f>
        <v/>
      </c>
      <c r="M44" s="208"/>
      <c r="N44" s="208"/>
      <c r="O44" s="343" t="s">
        <v>27</v>
      </c>
    </row>
    <row r="45" spans="1:15"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613</v>
      </c>
      <c r="I45" s="154" t="s">
        <v>645</v>
      </c>
      <c r="J45" s="153" t="str">
        <f>IF(VLOOKUP(A45,'Aux - pivots1'!$A:$E,3,0)=0, "",VLOOKUP(A45,'Aux - pivots1'!$A:$E,3,0))</f>
        <v/>
      </c>
      <c r="K45" s="153" t="str">
        <f>IF(VLOOKUP(A45,'Aux - pivots1'!$A:$E,4,0)=0, "",VLOOKUP(A45,'Aux - pivots1'!$A:$E,4,0))</f>
        <v/>
      </c>
      <c r="L45" s="153" t="str">
        <f>IF(VLOOKUP(A45,'Aux - pivots1'!$A:$E,5,0)=0, "",VLOOKUP(A45,'Aux - pivots1'!$A:$E,5,0))</f>
        <v/>
      </c>
      <c r="M45" s="208"/>
      <c r="N45" s="208"/>
      <c r="O45" s="343" t="s">
        <v>27</v>
      </c>
    </row>
    <row r="46" spans="1:15"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3" t="s">
        <v>27</v>
      </c>
    </row>
    <row r="47" spans="1:15"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3" t="s">
        <v>27</v>
      </c>
    </row>
    <row r="48" spans="1:15"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3" t="s">
        <v>27</v>
      </c>
    </row>
    <row r="49" spans="1:15"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612</v>
      </c>
      <c r="I49" s="143" t="s">
        <v>646</v>
      </c>
      <c r="J49" s="153" t="str">
        <f>IF(VLOOKUP(A49,'Aux - pivots1'!$A:$E,3,0)=0, "",VLOOKUP(A49,'Aux - pivots1'!$A:$E,3,0))</f>
        <v/>
      </c>
      <c r="K49" s="153" t="str">
        <f>IF(VLOOKUP(A49,'Aux - pivots1'!$A:$E,4,0)=0, "",VLOOKUP(A49,'Aux - pivots1'!$A:$E,4,0))</f>
        <v/>
      </c>
      <c r="L49" s="153" t="str">
        <f>IF(VLOOKUP(A49,'Aux - pivots1'!$A:$E,5,0)=0, "",VLOOKUP(A49,'Aux - pivots1'!$A:$E,5,0))</f>
        <v/>
      </c>
      <c r="M49" s="208"/>
      <c r="N49" s="208"/>
      <c r="O49" s="343" t="s">
        <v>27</v>
      </c>
    </row>
    <row r="50" spans="1:15"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3" t="s">
        <v>27</v>
      </c>
    </row>
    <row r="51" spans="1:15"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3" t="s">
        <v>27</v>
      </c>
    </row>
    <row r="52" spans="1:15"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3" t="s">
        <v>27</v>
      </c>
    </row>
    <row r="53" spans="1:15"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3" t="s">
        <v>27</v>
      </c>
    </row>
    <row r="54" spans="1:15"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3" t="s">
        <v>27</v>
      </c>
    </row>
    <row r="55" spans="1:15"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612</v>
      </c>
      <c r="I55" s="143" t="s">
        <v>646</v>
      </c>
      <c r="J55" s="153" t="str">
        <f>IF(VLOOKUP(A55,'Aux - pivots1'!$A:$E,3,0)=0, "",VLOOKUP(A55,'Aux - pivots1'!$A:$E,3,0))</f>
        <v/>
      </c>
      <c r="K55" s="153" t="str">
        <f>IF(VLOOKUP(A55,'Aux - pivots1'!$A:$E,4,0)=0, "",VLOOKUP(A55,'Aux - pivots1'!$A:$E,4,0))</f>
        <v/>
      </c>
      <c r="L55" s="153" t="str">
        <f>IF(VLOOKUP(A55,'Aux - pivots1'!$A:$E,5,0)=0, "",VLOOKUP(A55,'Aux - pivots1'!$A:$E,5,0))</f>
        <v/>
      </c>
      <c r="M55" s="208"/>
      <c r="N55" s="208"/>
      <c r="O55" s="343" t="s">
        <v>27</v>
      </c>
    </row>
    <row r="56" spans="1:15"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612</v>
      </c>
      <c r="I56" s="143" t="s">
        <v>646</v>
      </c>
      <c r="J56" s="153" t="str">
        <f>IF(VLOOKUP(A56,'Aux - pivots1'!$A:$E,3,0)=0, "",VLOOKUP(A56,'Aux - pivots1'!$A:$E,3,0))</f>
        <v/>
      </c>
      <c r="K56" s="153" t="str">
        <f>IF(VLOOKUP(A56,'Aux - pivots1'!$A:$E,4,0)=0, "",VLOOKUP(A56,'Aux - pivots1'!$A:$E,4,0))</f>
        <v/>
      </c>
      <c r="L56" s="153" t="str">
        <f>IF(VLOOKUP(A56,'Aux - pivots1'!$A:$E,5,0)=0, "",VLOOKUP(A56,'Aux - pivots1'!$A:$E,5,0))</f>
        <v/>
      </c>
      <c r="M56" s="208"/>
      <c r="N56" s="208"/>
      <c r="O56" s="343" t="s">
        <v>27</v>
      </c>
    </row>
    <row r="57" spans="1:15"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3" t="s">
        <v>27</v>
      </c>
    </row>
    <row r="58" spans="1:15"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3" t="s">
        <v>27</v>
      </c>
    </row>
    <row r="59" spans="1:15" ht="16.2" hidden="1" customHeight="1">
      <c r="A59" s="30" t="str">
        <f t="shared" si="0"/>
        <v>PROCESS_PROPERTY_RELn.a.</v>
      </c>
      <c r="B59" s="142" t="s">
        <v>26</v>
      </c>
      <c r="C59" s="138" t="s">
        <v>54</v>
      </c>
      <c r="D59" s="134" t="s">
        <v>36</v>
      </c>
      <c r="E59" s="135" t="s">
        <v>88</v>
      </c>
      <c r="F59" s="134" t="s">
        <v>38</v>
      </c>
      <c r="G59" s="136" t="str">
        <f>VLOOKUP(A59,Plano_V3!$A$26:$G$592,7,0)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3" t="s">
        <v>27</v>
      </c>
    </row>
    <row r="60" spans="1:15"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3" t="s">
        <v>27</v>
      </c>
    </row>
    <row r="61" spans="1:15"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613</v>
      </c>
      <c r="I61" s="154" t="s">
        <v>645</v>
      </c>
      <c r="J61" s="153" t="str">
        <f>IF(VLOOKUP(A61,'Aux - pivots1'!$A:$E,3,0)=0, "",VLOOKUP(A61,'Aux - pivots1'!$A:$E,3,0))</f>
        <v/>
      </c>
      <c r="K61" s="153" t="str">
        <f>IF(VLOOKUP(A61,'Aux - pivots1'!$A:$E,4,0)=0, "",VLOOKUP(A61,'Aux - pivots1'!$A:$E,4,0))</f>
        <v/>
      </c>
      <c r="L61" s="153" t="str">
        <f>IF(VLOOKUP(A61,'Aux - pivots1'!$A:$E,5,0)=0, "",VLOOKUP(A61,'Aux - pivots1'!$A:$E,5,0))</f>
        <v/>
      </c>
      <c r="M61" s="208"/>
      <c r="N61" s="208"/>
      <c r="O61" s="343" t="s">
        <v>27</v>
      </c>
    </row>
    <row r="62" spans="1:15"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613</v>
      </c>
      <c r="I62" s="154" t="s">
        <v>645</v>
      </c>
      <c r="J62" s="153" t="str">
        <f>IF(VLOOKUP(A62,'Aux - pivots1'!$A:$E,3,0)=0, "",VLOOKUP(A62,'Aux - pivots1'!$A:$E,3,0))</f>
        <v/>
      </c>
      <c r="K62" s="153" t="str">
        <f>IF(VLOOKUP(A62,'Aux - pivots1'!$A:$E,4,0)=0, "",VLOOKUP(A62,'Aux - pivots1'!$A:$E,4,0))</f>
        <v/>
      </c>
      <c r="L62" s="153" t="str">
        <f>IF(VLOOKUP(A62,'Aux - pivots1'!$A:$E,5,0)=0, "",VLOOKUP(A62,'Aux - pivots1'!$A:$E,5,0))</f>
        <v/>
      </c>
      <c r="M62" s="208"/>
      <c r="N62" s="208"/>
      <c r="O62" s="343" t="s">
        <v>27</v>
      </c>
    </row>
    <row r="63" spans="1:15"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613</v>
      </c>
      <c r="I63" s="154" t="s">
        <v>645</v>
      </c>
      <c r="J63" s="153" t="str">
        <f>IF(VLOOKUP(A63,'Aux - pivots1'!$A:$E,3,0)=0, "",VLOOKUP(A63,'Aux - pivots1'!$A:$E,3,0))</f>
        <v/>
      </c>
      <c r="K63" s="153" t="str">
        <f>IF(VLOOKUP(A63,'Aux - pivots1'!$A:$E,4,0)=0, "",VLOOKUP(A63,'Aux - pivots1'!$A:$E,4,0))</f>
        <v/>
      </c>
      <c r="L63" s="153" t="str">
        <f>IF(VLOOKUP(A63,'Aux - pivots1'!$A:$E,5,0)=0, "",VLOOKUP(A63,'Aux - pivots1'!$A:$E,5,0))</f>
        <v/>
      </c>
      <c r="M63" s="208"/>
      <c r="N63" s="208"/>
      <c r="O63" s="343" t="s">
        <v>27</v>
      </c>
    </row>
    <row r="64" spans="1:15"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613</v>
      </c>
      <c r="I64" s="154" t="s">
        <v>645</v>
      </c>
      <c r="J64" s="153" t="str">
        <f>IF(VLOOKUP(A64,'Aux - pivots1'!$A:$E,3,0)=0, "",VLOOKUP(A64,'Aux - pivots1'!$A:$E,3,0))</f>
        <v/>
      </c>
      <c r="K64" s="153" t="str">
        <f>IF(VLOOKUP(A64,'Aux - pivots1'!$A:$E,4,0)=0, "",VLOOKUP(A64,'Aux - pivots1'!$A:$E,4,0))</f>
        <v/>
      </c>
      <c r="L64" s="153" t="str">
        <f>IF(VLOOKUP(A64,'Aux - pivots1'!$A:$E,5,0)=0, "",VLOOKUP(A64,'Aux - pivots1'!$A:$E,5,0))</f>
        <v/>
      </c>
      <c r="M64" s="208"/>
      <c r="N64" s="208"/>
      <c r="O64" s="343" t="s">
        <v>27</v>
      </c>
    </row>
    <row r="65" spans="1:15"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613</v>
      </c>
      <c r="I65" s="154" t="s">
        <v>645</v>
      </c>
      <c r="J65" s="153" t="str">
        <f>IF(VLOOKUP(A65,'Aux - pivots1'!$A:$E,3,0)=0, "",VLOOKUP(A65,'Aux - pivots1'!$A:$E,3,0))</f>
        <v/>
      </c>
      <c r="K65" s="153" t="str">
        <f>IF(VLOOKUP(A65,'Aux - pivots1'!$A:$E,4,0)=0, "",VLOOKUP(A65,'Aux - pivots1'!$A:$E,4,0))</f>
        <v/>
      </c>
      <c r="L65" s="153" t="str">
        <f>IF(VLOOKUP(A65,'Aux - pivots1'!$A:$E,5,0)=0, "",VLOOKUP(A65,'Aux - pivots1'!$A:$E,5,0))</f>
        <v/>
      </c>
      <c r="M65" s="208"/>
      <c r="N65" s="208"/>
      <c r="O65" s="343" t="s">
        <v>27</v>
      </c>
    </row>
    <row r="66" spans="1:15"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3" t="s">
        <v>27</v>
      </c>
    </row>
    <row r="67" spans="1:15"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3" t="s">
        <v>27</v>
      </c>
    </row>
    <row r="68" spans="1:15"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612</v>
      </c>
      <c r="I68" s="143" t="s">
        <v>646</v>
      </c>
      <c r="J68" s="153" t="str">
        <f>IF(VLOOKUP(A68,'Aux - pivots1'!$A:$E,3,0)=0, "",VLOOKUP(A68,'Aux - pivots1'!$A:$E,3,0))</f>
        <v/>
      </c>
      <c r="K68" s="153" t="str">
        <f>IF(VLOOKUP(A68,'Aux - pivots1'!$A:$E,4,0)=0, "",VLOOKUP(A68,'Aux - pivots1'!$A:$E,4,0))</f>
        <v/>
      </c>
      <c r="L68" s="153" t="str">
        <f>IF(VLOOKUP(A68,'Aux - pivots1'!$A:$E,5,0)=0, "",VLOOKUP(A68,'Aux - pivots1'!$A:$E,5,0))</f>
        <v/>
      </c>
      <c r="M68" s="208"/>
      <c r="N68" s="208"/>
      <c r="O68" s="343" t="s">
        <v>27</v>
      </c>
    </row>
    <row r="69" spans="1:15"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3" t="s">
        <v>27</v>
      </c>
    </row>
    <row r="70" spans="1:15"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3" t="s">
        <v>27</v>
      </c>
    </row>
    <row r="71" spans="1:15"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3" t="s">
        <v>27</v>
      </c>
    </row>
    <row r="72" spans="1:15"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3" t="s">
        <v>27</v>
      </c>
    </row>
    <row r="73" spans="1:15"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3" t="s">
        <v>27</v>
      </c>
    </row>
    <row r="74" spans="1:15"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3" t="s">
        <v>27</v>
      </c>
    </row>
    <row r="75" spans="1:15" ht="16.2" hidden="1" customHeight="1">
      <c r="A75" s="30" t="str">
        <f t="shared" si="1"/>
        <v>PROPERTYn.a.</v>
      </c>
      <c r="B75" s="142" t="s">
        <v>26</v>
      </c>
      <c r="C75" s="138" t="s">
        <v>54</v>
      </c>
      <c r="D75" s="134" t="s">
        <v>36</v>
      </c>
      <c r="E75" s="135" t="s">
        <v>94</v>
      </c>
      <c r="F75" s="134" t="s">
        <v>38</v>
      </c>
      <c r="G75" s="136" t="str">
        <f>VLOOKUP(A75,Plano_V3!$A$26:$G$592,7,0)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3" t="s">
        <v>27</v>
      </c>
    </row>
    <row r="76" spans="1:15"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3" t="s">
        <v>27</v>
      </c>
    </row>
    <row r="77" spans="1:15" ht="16.2" hidden="1" customHeight="1">
      <c r="A77" s="30" t="str">
        <f t="shared" si="1"/>
        <v>PROPERTYNET_FLOOR_AREA</v>
      </c>
      <c r="B77" s="142" t="s">
        <v>26</v>
      </c>
      <c r="C77" s="138" t="s">
        <v>54</v>
      </c>
      <c r="D77" s="134" t="s">
        <v>40</v>
      </c>
      <c r="E77" s="135" t="s">
        <v>94</v>
      </c>
      <c r="F77" s="134" t="s">
        <v>97</v>
      </c>
      <c r="G77" s="136" t="str">
        <f>VLOOKUP(A77,Plano_V3!$A$26:$G$592,7,0)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3" t="s">
        <v>27</v>
      </c>
    </row>
    <row r="78" spans="1:15"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3" t="s">
        <v>27</v>
      </c>
    </row>
    <row r="79" spans="1:15"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3" t="s">
        <v>27</v>
      </c>
    </row>
    <row r="80" spans="1:15"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3" t="s">
        <v>27</v>
      </c>
    </row>
    <row r="81" spans="1:15"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3" t="s">
        <v>27</v>
      </c>
    </row>
    <row r="82" spans="1:15"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3" t="s">
        <v>27</v>
      </c>
    </row>
    <row r="83" spans="1:15" ht="16.2" hidden="1" customHeight="1">
      <c r="A83" s="30" t="str">
        <f t="shared" si="1"/>
        <v>PROPERTYAPPRAISAL_CODE</v>
      </c>
      <c r="B83" s="142" t="s">
        <v>26</v>
      </c>
      <c r="C83" s="138" t="s">
        <v>54</v>
      </c>
      <c r="D83" s="134" t="s">
        <v>40</v>
      </c>
      <c r="E83" s="135" t="s">
        <v>94</v>
      </c>
      <c r="F83" s="134" t="s">
        <v>99</v>
      </c>
      <c r="G83" s="136" t="str">
        <f>VLOOKUP(A83,Plano_V3!$A$26:$G$592,7,0)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3" t="s">
        <v>27</v>
      </c>
    </row>
    <row r="84" spans="1:15" ht="16.2" hidden="1" customHeight="1">
      <c r="A84" s="30" t="str">
        <f t="shared" si="1"/>
        <v>PROPERTYcod_bem</v>
      </c>
      <c r="B84" s="142" t="s">
        <v>26</v>
      </c>
      <c r="C84" s="138" t="s">
        <v>54</v>
      </c>
      <c r="D84" s="134" t="s">
        <v>40</v>
      </c>
      <c r="E84" s="135" t="s">
        <v>94</v>
      </c>
      <c r="F84" s="134" t="s">
        <v>100</v>
      </c>
      <c r="G84" s="136" t="str">
        <f>VLOOKUP(A84,Plano_V3!$A$26:$G$592,7,0)</f>
        <v>0. Cancelado</v>
      </c>
      <c r="H84" s="136" t="s">
        <v>612</v>
      </c>
      <c r="I84" s="143" t="s">
        <v>646</v>
      </c>
      <c r="J84" s="153" t="str">
        <f>IF(VLOOKUP(A84,'Aux - pivots1'!$A:$E,3,0)=0, "",VLOOKUP(A84,'Aux - pivots1'!$A:$E,3,0))</f>
        <v/>
      </c>
      <c r="K84" s="153" t="str">
        <f>IF(VLOOKUP(A84,'Aux - pivots1'!$A:$E,4,0)=0, "",VLOOKUP(A84,'Aux - pivots1'!$A:$E,4,0))</f>
        <v/>
      </c>
      <c r="L84" s="153" t="str">
        <f>IF(VLOOKUP(A84,'Aux - pivots1'!$A:$E,5,0)=0, "",VLOOKUP(A84,'Aux - pivots1'!$A:$E,5,0))</f>
        <v/>
      </c>
      <c r="M84" s="208"/>
      <c r="N84" s="208"/>
      <c r="O84" s="343" t="s">
        <v>27</v>
      </c>
    </row>
    <row r="85" spans="1:15"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3" t="s">
        <v>27</v>
      </c>
    </row>
    <row r="86" spans="1:15"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3" t="s">
        <v>27</v>
      </c>
    </row>
    <row r="87" spans="1:15"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3" t="s">
        <v>27</v>
      </c>
    </row>
    <row r="88" spans="1:15" ht="16.2" hidden="1" customHeight="1">
      <c r="A88" s="30" t="str">
        <f t="shared" si="1"/>
        <v>PROPERTYADDRESS_CODE</v>
      </c>
      <c r="B88" s="142" t="s">
        <v>26</v>
      </c>
      <c r="C88" s="138" t="s">
        <v>54</v>
      </c>
      <c r="D88" s="134" t="s">
        <v>40</v>
      </c>
      <c r="E88" s="135" t="s">
        <v>94</v>
      </c>
      <c r="F88" s="134" t="s">
        <v>104</v>
      </c>
      <c r="G88" s="136" t="str">
        <f>VLOOKUP(A88,Plano_V3!$A$26:$G$592,7,0)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3" t="s">
        <v>27</v>
      </c>
    </row>
    <row r="89" spans="1:15" ht="16.2" hidden="1" customHeight="1">
      <c r="A89" s="30" t="str">
        <f t="shared" si="1"/>
        <v>PROPERTYCOUNTRY_CODE</v>
      </c>
      <c r="B89" s="142" t="s">
        <v>26</v>
      </c>
      <c r="C89" s="138" t="s">
        <v>54</v>
      </c>
      <c r="D89" s="134" t="s">
        <v>40</v>
      </c>
      <c r="E89" s="135" t="s">
        <v>94</v>
      </c>
      <c r="F89" s="134" t="s">
        <v>105</v>
      </c>
      <c r="G89" s="136" t="str">
        <f>VLOOKUP(A89,Plano_V3!$A$26:$G$592,7,0)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3" t="s">
        <v>27</v>
      </c>
    </row>
    <row r="90" spans="1:15" ht="16.2" hidden="1" customHeight="1">
      <c r="A90" s="30" t="str">
        <f t="shared" si="1"/>
        <v>PROPERTYPOSTAL_CODE</v>
      </c>
      <c r="B90" s="142" t="s">
        <v>26</v>
      </c>
      <c r="C90" s="138" t="s">
        <v>54</v>
      </c>
      <c r="D90" s="134" t="s">
        <v>40</v>
      </c>
      <c r="E90" s="135" t="s">
        <v>94</v>
      </c>
      <c r="F90" s="134" t="s">
        <v>106</v>
      </c>
      <c r="G90" s="136" t="str">
        <f>VLOOKUP(A90,Plano_V3!$A$26:$G$592,7,0)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3" t="s">
        <v>27</v>
      </c>
    </row>
    <row r="91" spans="1:15"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3" t="s">
        <v>27</v>
      </c>
    </row>
    <row r="92" spans="1:15"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3" t="s">
        <v>27</v>
      </c>
    </row>
    <row r="93" spans="1:15"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3" t="s">
        <v>27</v>
      </c>
    </row>
    <row r="94" spans="1:15"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3" t="s">
        <v>27</v>
      </c>
    </row>
    <row r="95" spans="1:15" ht="16.2" hidden="1" customHeight="1">
      <c r="A95" s="30" t="str">
        <f t="shared" si="1"/>
        <v>PROPERTYFLOOR_NUMBER</v>
      </c>
      <c r="B95" s="142" t="s">
        <v>26</v>
      </c>
      <c r="C95" s="138" t="s">
        <v>54</v>
      </c>
      <c r="D95" s="134" t="s">
        <v>40</v>
      </c>
      <c r="E95" s="135" t="s">
        <v>94</v>
      </c>
      <c r="F95" s="134" t="s">
        <v>111</v>
      </c>
      <c r="G95" s="136" t="str">
        <f>VLOOKUP(A95,Plano_V3!$A$26:$G$592,7,0)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3" t="s">
        <v>27</v>
      </c>
    </row>
    <row r="96" spans="1:15" ht="16.2" hidden="1" customHeight="1">
      <c r="A96" s="30" t="str">
        <f t="shared" si="1"/>
        <v>PROPERTYLOCALITY</v>
      </c>
      <c r="B96" s="142" t="s">
        <v>26</v>
      </c>
      <c r="C96" s="138" t="s">
        <v>54</v>
      </c>
      <c r="D96" s="134" t="s">
        <v>40</v>
      </c>
      <c r="E96" s="135" t="s">
        <v>94</v>
      </c>
      <c r="F96" s="134" t="s">
        <v>112</v>
      </c>
      <c r="G96" s="136" t="str">
        <f>VLOOKUP(A96,Plano_V3!$A$26:$G$592,7,0)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3" t="s">
        <v>27</v>
      </c>
    </row>
    <row r="97" spans="1:15" ht="16.2" hidden="1" customHeight="1">
      <c r="A97" s="30" t="str">
        <f t="shared" si="1"/>
        <v>PROPERTYPROPERTY_LOT</v>
      </c>
      <c r="B97" s="142" t="s">
        <v>26</v>
      </c>
      <c r="C97" s="138" t="s">
        <v>54</v>
      </c>
      <c r="D97" s="134" t="s">
        <v>40</v>
      </c>
      <c r="E97" s="135" t="s">
        <v>94</v>
      </c>
      <c r="F97" s="134" t="s">
        <v>113</v>
      </c>
      <c r="G97" s="136" t="str">
        <f>VLOOKUP(A97,Plano_V3!$A$26:$G$592,7,0)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3" t="s">
        <v>27</v>
      </c>
    </row>
    <row r="98" spans="1:15"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3" t="s">
        <v>27</v>
      </c>
    </row>
    <row r="99" spans="1:15"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3" t="s">
        <v>27</v>
      </c>
    </row>
    <row r="100" spans="1:15"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3" t="s">
        <v>27</v>
      </c>
    </row>
    <row r="101" spans="1:15"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3" t="s">
        <v>27</v>
      </c>
    </row>
    <row r="102" spans="1:15"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3" t="s">
        <v>27</v>
      </c>
    </row>
    <row r="103" spans="1:15" ht="16.2" hidden="1" customHeight="1">
      <c r="A103" s="30" t="str">
        <f t="shared" si="1"/>
        <v>PROPERTYOrigem</v>
      </c>
      <c r="B103" s="142" t="s">
        <v>26</v>
      </c>
      <c r="C103" s="138" t="s">
        <v>54</v>
      </c>
      <c r="D103" s="134" t="s">
        <v>40</v>
      </c>
      <c r="E103" s="135" t="s">
        <v>94</v>
      </c>
      <c r="F103" s="134" t="s">
        <v>119</v>
      </c>
      <c r="G103" s="136" t="str">
        <f>VLOOKUP(A103,Plano_V3!$A$26:$G$592,7,0)</f>
        <v>0. Cancelado</v>
      </c>
      <c r="H103" s="136" t="s">
        <v>612</v>
      </c>
      <c r="I103" s="143" t="s">
        <v>647</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3" t="s">
        <v>27</v>
      </c>
    </row>
    <row r="104" spans="1:15"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613</v>
      </c>
      <c r="I104" s="143" t="s">
        <v>648</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3" t="s">
        <v>27</v>
      </c>
    </row>
    <row r="105" spans="1:15"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613</v>
      </c>
      <c r="I105" s="143" t="s">
        <v>648</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3" t="s">
        <v>27</v>
      </c>
    </row>
    <row r="106" spans="1:15"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3" t="s">
        <v>27</v>
      </c>
    </row>
    <row r="107" spans="1:15" ht="16.2" hidden="1" customHeight="1">
      <c r="A107" s="30" t="str">
        <f t="shared" si="1"/>
        <v>PROPERTYCGARANT_BEM</v>
      </c>
      <c r="B107" s="142" t="s">
        <v>26</v>
      </c>
      <c r="C107" s="138" t="s">
        <v>54</v>
      </c>
      <c r="D107" s="134" t="s">
        <v>40</v>
      </c>
      <c r="E107" s="135" t="s">
        <v>94</v>
      </c>
      <c r="F107" s="134" t="s">
        <v>1936</v>
      </c>
      <c r="G107" s="136" t="str">
        <f>VLOOKUP(A107,Plano_V3!$A$26:$G$592,7,0)</f>
        <v>1. Concluído</v>
      </c>
      <c r="H107" s="136" t="s">
        <v>1921</v>
      </c>
      <c r="I107" s="154"/>
      <c r="J107" s="153" t="str">
        <f>IF(VLOOKUP(A107,'Aux - pivots1'!$A:$E,3,0)=0, "",VLOOKUP(A107,'Aux - pivots1'!$A:$E,3,0))</f>
        <v/>
      </c>
      <c r="K107" s="153" t="str">
        <f>IF(VLOOKUP(A107,'Aux - pivots1'!$A:$E,4,0)=0, "",VLOOKUP(A107,'Aux - pivots1'!$A:$E,4,0))</f>
        <v/>
      </c>
      <c r="L107" s="153">
        <f>IF(VLOOKUP(A107,'Aux - pivots1'!$A:$E,5,0)=0, "",VLOOKUP(A107,'Aux - pivots1'!$A:$E,5,0))</f>
        <v>45645</v>
      </c>
      <c r="M107" s="208"/>
      <c r="N107" s="208"/>
      <c r="O107" s="343" t="s">
        <v>27</v>
      </c>
    </row>
    <row r="108" spans="1:15"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3" t="s">
        <v>27</v>
      </c>
    </row>
    <row r="109" spans="1:15"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3" t="s">
        <v>27</v>
      </c>
    </row>
    <row r="110" spans="1:15"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3" t="s">
        <v>27</v>
      </c>
    </row>
    <row r="111" spans="1:15"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3" t="s">
        <v>27</v>
      </c>
    </row>
    <row r="112" spans="1:15"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3" t="s">
        <v>27</v>
      </c>
    </row>
    <row r="113" spans="1:15"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3" t="s">
        <v>27</v>
      </c>
    </row>
    <row r="114" spans="1:15"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1. Concluído</v>
      </c>
      <c r="H114" s="136" t="s">
        <v>613</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3" t="s">
        <v>27</v>
      </c>
    </row>
    <row r="115" spans="1:15"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1. Concluído</v>
      </c>
      <c r="H115" s="136" t="s">
        <v>613</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3" t="s">
        <v>27</v>
      </c>
    </row>
    <row r="116" spans="1:15"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1. Concluído</v>
      </c>
      <c r="H116" s="136" t="s">
        <v>613</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3" t="s">
        <v>27</v>
      </c>
    </row>
    <row r="117" spans="1:15" ht="16.2" hidden="1" customHeight="1">
      <c r="A117" s="30" t="str">
        <f t="shared" si="1"/>
        <v>PROPERTY_ENERGY_CERTIFICATEEPC_ISSUING_DATE</v>
      </c>
      <c r="B117" s="142" t="s">
        <v>26</v>
      </c>
      <c r="C117" s="138" t="s">
        <v>54</v>
      </c>
      <c r="D117" s="134" t="s">
        <v>40</v>
      </c>
      <c r="E117" s="135" t="s">
        <v>123</v>
      </c>
      <c r="F117" s="134" t="s">
        <v>128</v>
      </c>
      <c r="G117" s="136" t="str">
        <f>VLOOKUP(A117,Plano_V3!$A$26:$G$592,7,0)</f>
        <v>1. Concluído</v>
      </c>
      <c r="H117" s="136" t="s">
        <v>613</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3" t="s">
        <v>27</v>
      </c>
    </row>
    <row r="118" spans="1:15" ht="16.2" hidden="1" customHeight="1">
      <c r="A118" s="30" t="str">
        <f t="shared" si="1"/>
        <v>PROPERTY_ENERGY_CERTIFICATEEPC_EXPIRATION_DATE</v>
      </c>
      <c r="B118" s="142" t="s">
        <v>26</v>
      </c>
      <c r="C118" s="138" t="s">
        <v>54</v>
      </c>
      <c r="D118" s="134" t="s">
        <v>40</v>
      </c>
      <c r="E118" s="135" t="s">
        <v>123</v>
      </c>
      <c r="F118" s="134" t="s">
        <v>129</v>
      </c>
      <c r="G118" s="136" t="str">
        <f>VLOOKUP(A118,Plano_V3!$A$26:$G$592,7,0)</f>
        <v>1. Concluído</v>
      </c>
      <c r="H118" s="136" t="s">
        <v>613</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3" t="s">
        <v>27</v>
      </c>
    </row>
    <row r="119" spans="1:15" ht="16.2" hidden="1" customHeight="1">
      <c r="A119" s="30" t="str">
        <f t="shared" si="1"/>
        <v>PROPERTY_ENERGY_CERTIFICATEEPC</v>
      </c>
      <c r="B119" s="142" t="s">
        <v>26</v>
      </c>
      <c r="C119" s="138" t="s">
        <v>54</v>
      </c>
      <c r="D119" s="134" t="s">
        <v>40</v>
      </c>
      <c r="E119" s="135" t="s">
        <v>123</v>
      </c>
      <c r="F119" s="134" t="s">
        <v>47</v>
      </c>
      <c r="G119" s="136" t="str">
        <f>VLOOKUP(A119,Plano_V3!$A$26:$G$592,7,0)</f>
        <v>1. Concluído</v>
      </c>
      <c r="H119" s="136" t="s">
        <v>613</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3" t="s">
        <v>27</v>
      </c>
    </row>
    <row r="120" spans="1:15"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3" t="s">
        <v>27</v>
      </c>
    </row>
    <row r="121" spans="1:15"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3" t="s">
        <v>27</v>
      </c>
    </row>
    <row r="122" spans="1:15"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1. Concluído</v>
      </c>
      <c r="H122" s="136" t="s">
        <v>613</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3" t="s">
        <v>27</v>
      </c>
    </row>
    <row r="123" spans="1:15"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3" t="s">
        <v>27</v>
      </c>
    </row>
    <row r="124" spans="1:15" ht="16.2" hidden="1" customHeight="1">
      <c r="A124" s="30" t="str">
        <f t="shared" si="1"/>
        <v>PROPERTY_ENERGY_CERTIFICATENZEB_IND</v>
      </c>
      <c r="B124" s="142" t="s">
        <v>26</v>
      </c>
      <c r="C124" s="138" t="s">
        <v>54</v>
      </c>
      <c r="D124" s="134" t="s">
        <v>40</v>
      </c>
      <c r="E124" s="135" t="s">
        <v>123</v>
      </c>
      <c r="F124" s="134" t="s">
        <v>134</v>
      </c>
      <c r="G124" s="136" t="str">
        <f>VLOOKUP(A124,Plano_V3!$A$26:$G$592,7,0)</f>
        <v>1. Concluído</v>
      </c>
      <c r="H124" s="136" t="s">
        <v>613</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3" t="s">
        <v>27</v>
      </c>
    </row>
    <row r="125" spans="1:15" ht="16.2" hidden="1" customHeight="1">
      <c r="A125" s="30" t="str">
        <f t="shared" si="1"/>
        <v>PROPERTY_ENERGY_CERTIFICATEACTUAL_VALUE_IND</v>
      </c>
      <c r="B125" s="142" t="s">
        <v>26</v>
      </c>
      <c r="C125" s="138" t="s">
        <v>54</v>
      </c>
      <c r="D125" s="134" t="s">
        <v>40</v>
      </c>
      <c r="E125" s="135" t="s">
        <v>123</v>
      </c>
      <c r="F125" s="134" t="s">
        <v>49</v>
      </c>
      <c r="G125" s="136" t="str">
        <f>VLOOKUP(A125,Plano_V3!$A$26:$G$592,7,0)</f>
        <v>1. Concluído</v>
      </c>
      <c r="H125" s="136" t="s">
        <v>613</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3" t="s">
        <v>27</v>
      </c>
    </row>
    <row r="126" spans="1:15"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3" t="s">
        <v>27</v>
      </c>
    </row>
    <row r="127" spans="1:15" ht="16.2" hidden="1" customHeight="1">
      <c r="A127" s="30" t="str">
        <f t="shared" si="1"/>
        <v>PROPERTY_ENERGY_CERTIFICATESOURCE_CODE</v>
      </c>
      <c r="B127" s="142" t="s">
        <v>26</v>
      </c>
      <c r="C127" s="138" t="s">
        <v>54</v>
      </c>
      <c r="D127" s="134" t="s">
        <v>40</v>
      </c>
      <c r="E127" s="135" t="s">
        <v>123</v>
      </c>
      <c r="F127" s="134" t="s">
        <v>87</v>
      </c>
      <c r="G127" s="136" t="str">
        <f>VLOOKUP(A127,Plano_V3!$A$26:$G$592,7,0)</f>
        <v>1. Concluído</v>
      </c>
      <c r="H127" s="136" t="s">
        <v>613</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3" t="s">
        <v>27</v>
      </c>
    </row>
    <row r="128" spans="1:15"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3" t="s">
        <v>27</v>
      </c>
    </row>
    <row r="129" spans="1:15" ht="16.2" hidden="1" customHeight="1">
      <c r="A129" s="30" t="str">
        <f t="shared" si="1"/>
        <v>PROPERTY_ENERGY_CERTIFICATECERTIFICATE_TYPE</v>
      </c>
      <c r="B129" s="142" t="s">
        <v>26</v>
      </c>
      <c r="C129" s="138" t="s">
        <v>54</v>
      </c>
      <c r="D129" s="134" t="s">
        <v>40</v>
      </c>
      <c r="E129" s="135" t="s">
        <v>123</v>
      </c>
      <c r="F129" s="134" t="s">
        <v>136</v>
      </c>
      <c r="G129" s="136" t="str">
        <f>VLOOKUP(A129,Plano_V3!$A$26:$G$592,7,0)</f>
        <v>1. Concluído</v>
      </c>
      <c r="H129" s="136" t="s">
        <v>613</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3" t="s">
        <v>27</v>
      </c>
    </row>
    <row r="130" spans="1:15"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3" t="s">
        <v>27</v>
      </c>
    </row>
    <row r="131" spans="1:15"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3" t="s">
        <v>27</v>
      </c>
    </row>
    <row r="132" spans="1:15"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3" t="s">
        <v>27</v>
      </c>
    </row>
    <row r="133" spans="1:15"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3" t="s">
        <v>27</v>
      </c>
    </row>
    <row r="134" spans="1:15"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3" t="s">
        <v>27</v>
      </c>
    </row>
    <row r="135" spans="1:15"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3" t="s">
        <v>27</v>
      </c>
    </row>
    <row r="136" spans="1:15"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3" t="s">
        <v>27</v>
      </c>
    </row>
    <row r="137" spans="1:15"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3" t="s">
        <v>27</v>
      </c>
    </row>
    <row r="138" spans="1:15"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3" t="s">
        <v>27</v>
      </c>
    </row>
    <row r="139" spans="1:15"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3" t="s">
        <v>27</v>
      </c>
    </row>
    <row r="140" spans="1:15"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3" t="s">
        <v>27</v>
      </c>
    </row>
    <row r="141" spans="1:15"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1. Concluído</v>
      </c>
      <c r="H141" s="136" t="s">
        <v>613</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3" t="s">
        <v>27</v>
      </c>
    </row>
    <row r="142" spans="1:15"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3" t="s">
        <v>27</v>
      </c>
    </row>
    <row r="143" spans="1:15"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3" t="s">
        <v>27</v>
      </c>
    </row>
    <row r="144" spans="1:15"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3" t="s">
        <v>27</v>
      </c>
    </row>
    <row r="145" spans="1:15"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3" t="s">
        <v>27</v>
      </c>
    </row>
    <row r="146" spans="1:15"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3" t="s">
        <v>27</v>
      </c>
    </row>
    <row r="147" spans="1:15"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3" t="s">
        <v>27</v>
      </c>
    </row>
    <row r="148" spans="1:15"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3" t="s">
        <v>27</v>
      </c>
    </row>
    <row r="149" spans="1:15"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3" t="s">
        <v>27</v>
      </c>
    </row>
    <row r="150" spans="1:15"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1. Concluído</v>
      </c>
      <c r="H150" s="136" t="s">
        <v>613</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3" t="s">
        <v>27</v>
      </c>
    </row>
    <row r="151" spans="1:15"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3" t="s">
        <v>27</v>
      </c>
    </row>
    <row r="152" spans="1:15"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3" t="s">
        <v>27</v>
      </c>
    </row>
    <row r="153" spans="1:15"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3" t="s">
        <v>27</v>
      </c>
    </row>
    <row r="154" spans="1:15"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3" t="s">
        <v>27</v>
      </c>
    </row>
    <row r="155" spans="1:15"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1. Concluído</v>
      </c>
      <c r="H155" s="136" t="s">
        <v>613</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3" t="s">
        <v>27</v>
      </c>
    </row>
    <row r="156" spans="1:15"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3" t="s">
        <v>27</v>
      </c>
    </row>
    <row r="157" spans="1:15"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3" t="s">
        <v>27</v>
      </c>
    </row>
    <row r="158" spans="1:15"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3" t="s">
        <v>27</v>
      </c>
    </row>
    <row r="159" spans="1:15"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1. Concluído</v>
      </c>
      <c r="H159" s="136" t="s">
        <v>613</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3" t="s">
        <v>27</v>
      </c>
    </row>
    <row r="160" spans="1:15"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3" t="s">
        <v>27</v>
      </c>
    </row>
    <row r="161" spans="1:15"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3" t="s">
        <v>27</v>
      </c>
    </row>
    <row r="162" spans="1:15"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3" t="s">
        <v>27</v>
      </c>
    </row>
    <row r="163" spans="1:15"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3" t="s">
        <v>27</v>
      </c>
    </row>
    <row r="164" spans="1:15"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3" t="s">
        <v>27</v>
      </c>
    </row>
    <row r="165" spans="1:15"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3" t="s">
        <v>27</v>
      </c>
    </row>
    <row r="166" spans="1:15"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3" t="s">
        <v>27</v>
      </c>
    </row>
    <row r="167" spans="1:15"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3" t="s">
        <v>27</v>
      </c>
    </row>
    <row r="168" spans="1:15"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3" t="s">
        <v>27</v>
      </c>
    </row>
    <row r="169" spans="1:15"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3" t="s">
        <v>27</v>
      </c>
    </row>
    <row r="170" spans="1:15"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3" t="s">
        <v>27</v>
      </c>
    </row>
    <row r="171" spans="1:15"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3" t="s">
        <v>27</v>
      </c>
    </row>
    <row r="172" spans="1:15"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3" t="s">
        <v>27</v>
      </c>
    </row>
    <row r="173" spans="1:15"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3" t="s">
        <v>27</v>
      </c>
    </row>
    <row r="174" spans="1:15" ht="16.2" hidden="1" customHeight="1">
      <c r="A174" s="30" t="str">
        <f t="shared" si="2"/>
        <v>PROPERTY_ENERGY_CERTIFICATENET_FLOOR_AREA</v>
      </c>
      <c r="B174" s="142" t="s">
        <v>26</v>
      </c>
      <c r="C174" s="138" t="s">
        <v>54</v>
      </c>
      <c r="D174" s="134" t="s">
        <v>40</v>
      </c>
      <c r="E174" s="135" t="s">
        <v>123</v>
      </c>
      <c r="F174" s="134" t="s">
        <v>97</v>
      </c>
      <c r="G174" s="136" t="str">
        <f>VLOOKUP(A174,Plano_V3!$A$26:$G$592,7,0)</f>
        <v>1. Concluído</v>
      </c>
      <c r="H174" s="136" t="s">
        <v>613</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3" t="s">
        <v>27</v>
      </c>
    </row>
    <row r="175" spans="1:15"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1. Concluído</v>
      </c>
      <c r="H175" s="136" t="s">
        <v>613</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3" t="s">
        <v>27</v>
      </c>
    </row>
    <row r="176" spans="1:15"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1. Concluído</v>
      </c>
      <c r="H176" s="136" t="s">
        <v>613</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3" t="s">
        <v>27</v>
      </c>
    </row>
    <row r="177" spans="1:15"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1. Concluído</v>
      </c>
      <c r="H177" s="136" t="s">
        <v>613</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3" t="s">
        <v>27</v>
      </c>
    </row>
    <row r="178" spans="1:15" ht="16.2" hidden="1" customHeight="1">
      <c r="A178" s="30" t="str">
        <f t="shared" si="2"/>
        <v>PROPERTY_ENERGY_CERTIFICATEADDRESS_CODE</v>
      </c>
      <c r="B178" s="142" t="s">
        <v>26</v>
      </c>
      <c r="C178" s="138" t="s">
        <v>54</v>
      </c>
      <c r="D178" s="134" t="s">
        <v>40</v>
      </c>
      <c r="E178" s="135" t="s">
        <v>123</v>
      </c>
      <c r="F178" s="134" t="s">
        <v>104</v>
      </c>
      <c r="G178" s="136" t="str">
        <f>VLOOKUP(A178,Plano_V3!$A$26:$G$592,7,0)</f>
        <v>1. Concluído</v>
      </c>
      <c r="H178" s="136" t="s">
        <v>613</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3" t="s">
        <v>27</v>
      </c>
    </row>
    <row r="179" spans="1:15" ht="16.2" hidden="1" customHeight="1">
      <c r="A179" s="30" t="str">
        <f t="shared" si="2"/>
        <v>PROPERTY_ENERGY_CERTIFICATEFLOOR_NUMBER</v>
      </c>
      <c r="B179" s="142" t="s">
        <v>26</v>
      </c>
      <c r="C179" s="138" t="s">
        <v>54</v>
      </c>
      <c r="D179" s="134" t="s">
        <v>40</v>
      </c>
      <c r="E179" s="135" t="s">
        <v>123</v>
      </c>
      <c r="F179" s="134" t="s">
        <v>111</v>
      </c>
      <c r="G179" s="136" t="str">
        <f>VLOOKUP(A179,Plano_V3!$A$26:$G$592,7,0)</f>
        <v>1. Concluído</v>
      </c>
      <c r="H179" s="136" t="s">
        <v>613</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3" t="s">
        <v>27</v>
      </c>
    </row>
    <row r="180" spans="1:15" ht="16.2" hidden="1" customHeight="1">
      <c r="A180" s="30" t="str">
        <f t="shared" si="2"/>
        <v>PROPERTY_ENERGY_CERTIFICATELOCALITY</v>
      </c>
      <c r="B180" s="142" t="s">
        <v>26</v>
      </c>
      <c r="C180" s="138" t="s">
        <v>54</v>
      </c>
      <c r="D180" s="134" t="s">
        <v>40</v>
      </c>
      <c r="E180" s="135" t="s">
        <v>123</v>
      </c>
      <c r="F180" s="134" t="s">
        <v>112</v>
      </c>
      <c r="G180" s="136" t="str">
        <f>VLOOKUP(A180,Plano_V3!$A$26:$G$592,7,0)</f>
        <v>1. Concluído</v>
      </c>
      <c r="H180" s="136" t="s">
        <v>613</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3" t="s">
        <v>27</v>
      </c>
    </row>
    <row r="181" spans="1:15"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3" t="s">
        <v>27</v>
      </c>
    </row>
    <row r="182" spans="1:15"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613</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8"/>
      <c r="N182" s="208"/>
      <c r="O182" s="342" t="s">
        <v>29</v>
      </c>
    </row>
    <row r="183" spans="1:15"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613</v>
      </c>
      <c r="I183" s="154"/>
      <c r="J183" s="153" t="str">
        <f>IF(VLOOKUP(A183,'Aux - pivots1'!$A:$E,3,0)=0, "",VLOOKUP(A183,'Aux - pivots1'!$A:$E,3,0))</f>
        <v/>
      </c>
      <c r="K183" s="153">
        <f>IF(VLOOKUP(A183,'Aux - pivots1'!$A:$E,4,0)=0, "",VLOOKUP(A183,'Aux - pivots1'!$A:$E,4,0))</f>
        <v>45603</v>
      </c>
      <c r="L183" s="153" t="str">
        <f>IF(VLOOKUP(A183,'Aux - pivots1'!$A:$E,5,0)=0, "",VLOOKUP(A183,'Aux - pivots1'!$A:$E,5,0))</f>
        <v/>
      </c>
      <c r="M183" s="208"/>
      <c r="N183" s="208"/>
      <c r="O183" s="342" t="s">
        <v>29</v>
      </c>
    </row>
    <row r="184" spans="1:15"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2" t="s">
        <v>29</v>
      </c>
    </row>
    <row r="185" spans="1:15"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2" t="s">
        <v>29</v>
      </c>
    </row>
    <row r="186" spans="1:15"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2" t="s">
        <v>29</v>
      </c>
    </row>
    <row r="187" spans="1:15"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2" t="s">
        <v>29</v>
      </c>
    </row>
    <row r="188" spans="1:15"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2" t="s">
        <v>29</v>
      </c>
    </row>
    <row r="189" spans="1:15"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2" t="s">
        <v>29</v>
      </c>
    </row>
    <row r="190" spans="1:15"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2" t="s">
        <v>29</v>
      </c>
    </row>
    <row r="191" spans="1:15"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613</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8"/>
      <c r="N191" s="208"/>
      <c r="O191" s="342" t="s">
        <v>29</v>
      </c>
    </row>
    <row r="192" spans="1:15"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2" t="s">
        <v>29</v>
      </c>
    </row>
    <row r="193" spans="1:15"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2" t="s">
        <v>29</v>
      </c>
    </row>
    <row r="194" spans="1:15"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613</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8"/>
      <c r="N194" s="208"/>
      <c r="O194" s="342" t="s">
        <v>29</v>
      </c>
    </row>
    <row r="195" spans="1:15"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2" t="s">
        <v>29</v>
      </c>
    </row>
    <row r="196" spans="1:15"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613</v>
      </c>
      <c r="I196" s="154"/>
      <c r="J196" s="153" t="str">
        <f>IF(VLOOKUP(A196,'Aux - pivots1'!$A:$E,3,0)=0, "",VLOOKUP(A196,'Aux - pivots1'!$A:$E,3,0))</f>
        <v/>
      </c>
      <c r="K196" s="153">
        <f>IF(VLOOKUP(A196,'Aux - pivots1'!$A:$E,4,0)=0, "",VLOOKUP(A196,'Aux - pivots1'!$A:$E,4,0))</f>
        <v>45603</v>
      </c>
      <c r="L196" s="153" t="str">
        <f>IF(VLOOKUP(A196,'Aux - pivots1'!$A:$E,5,0)=0, "",VLOOKUP(A196,'Aux - pivots1'!$A:$E,5,0))</f>
        <v/>
      </c>
      <c r="M196" s="208"/>
      <c r="N196" s="208"/>
      <c r="O196" s="342" t="s">
        <v>29</v>
      </c>
    </row>
    <row r="197" spans="1:15"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2" t="s">
        <v>29</v>
      </c>
    </row>
    <row r="198" spans="1:15"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2" t="s">
        <v>29</v>
      </c>
    </row>
    <row r="199" spans="1:15"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613</v>
      </c>
      <c r="I199" s="144" t="s">
        <v>649</v>
      </c>
      <c r="J199" s="153">
        <f>IF(VLOOKUP(A199,'Aux - pivots1'!$A:$E,3,0)=0, "",VLOOKUP(A199,'Aux - pivots1'!$A:$E,3,0))</f>
        <v>45563</v>
      </c>
      <c r="K199" s="153">
        <f>IF(VLOOKUP(A199,'Aux - pivots1'!$A:$E,4,0)=0, "",VLOOKUP(A199,'Aux - pivots1'!$A:$E,4,0))</f>
        <v>45603</v>
      </c>
      <c r="L199" s="153">
        <f>IF(VLOOKUP(A199,'Aux - pivots1'!$A:$E,5,0)=0, "",VLOOKUP(A199,'Aux - pivots1'!$A:$E,5,0))</f>
        <v>45604</v>
      </c>
      <c r="M199" s="208"/>
      <c r="N199" s="208"/>
      <c r="O199" s="342" t="s">
        <v>29</v>
      </c>
    </row>
    <row r="200" spans="1:15"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613</v>
      </c>
      <c r="I200" s="144" t="s">
        <v>649</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2" t="s">
        <v>29</v>
      </c>
    </row>
    <row r="201" spans="1:15"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613</v>
      </c>
      <c r="I201" s="144" t="s">
        <v>650</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2" t="s">
        <v>29</v>
      </c>
    </row>
    <row r="202" spans="1:15"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613</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2" t="s">
        <v>29</v>
      </c>
    </row>
    <row r="203" spans="1:15" ht="16.2" hidden="1"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615</v>
      </c>
      <c r="I203" s="143" t="s">
        <v>651</v>
      </c>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2" t="s">
        <v>29</v>
      </c>
    </row>
    <row r="204" spans="1:15"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613</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2" t="s">
        <v>29</v>
      </c>
    </row>
    <row r="205" spans="1:15"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2" t="s">
        <v>29</v>
      </c>
    </row>
    <row r="206" spans="1:15"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2" t="s">
        <v>29</v>
      </c>
    </row>
    <row r="207" spans="1:15"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2" t="s">
        <v>29</v>
      </c>
    </row>
    <row r="208" spans="1:15" ht="16.2" hidden="1" customHeight="1">
      <c r="A208" s="30" t="str">
        <f>E208&amp;F208</f>
        <v>modesg_param_sfcs_taxon_europeiaref_date</v>
      </c>
      <c r="B208" s="142" t="s">
        <v>26</v>
      </c>
      <c r="C208" s="138" t="s">
        <v>181</v>
      </c>
      <c r="D208" s="134" t="s">
        <v>40</v>
      </c>
      <c r="E208" s="135" t="s">
        <v>182</v>
      </c>
      <c r="F208" s="134" t="s">
        <v>208</v>
      </c>
      <c r="G208" s="136" t="str">
        <f>VLOOKUP(A208,Plano_V3!$A$26:$G$592,7,0)</f>
        <v>1. Concluído</v>
      </c>
      <c r="H208" s="136" t="s">
        <v>613</v>
      </c>
      <c r="I208" s="154"/>
      <c r="J208" s="153" t="str">
        <f>IF(VLOOKUP(A208,'Aux - pivots1'!$A:$E,3,0)=0, "",VLOOKUP(A208,'Aux - pivots1'!$A:$E,3,0))</f>
        <v/>
      </c>
      <c r="K208" s="153">
        <f>IF(VLOOKUP(A208,'Aux - pivots1'!$A:$E,4,0)=0, "",VLOOKUP(A208,'Aux - pivots1'!$A:$E,4,0))</f>
        <v>45603</v>
      </c>
      <c r="L208" s="153" t="str">
        <f>IF(VLOOKUP(A208,'Aux - pivots1'!$A:$E,5,0)=0, "",VLOOKUP(A208,'Aux - pivots1'!$A:$E,5,0))</f>
        <v/>
      </c>
      <c r="M208" s="208"/>
      <c r="N208" s="208"/>
      <c r="O208" s="342" t="s">
        <v>29</v>
      </c>
    </row>
    <row r="209" spans="1:15" ht="16.2" hidden="1" customHeight="1">
      <c r="A209" s="30" t="str">
        <f>E209&amp;F209</f>
        <v>modesg_param_sfcs_taxon_europeiazcliente</v>
      </c>
      <c r="B209" s="142" t="s">
        <v>26</v>
      </c>
      <c r="C209" s="138" t="s">
        <v>181</v>
      </c>
      <c r="D209" s="134" t="s">
        <v>40</v>
      </c>
      <c r="E209" s="135" t="s">
        <v>182</v>
      </c>
      <c r="F209" s="134" t="s">
        <v>209</v>
      </c>
      <c r="G209" s="136" t="str">
        <f>VLOOKUP(A209,Plano_V3!$A$26:$G$592,7,0)</f>
        <v>1. Concluído</v>
      </c>
      <c r="H209" s="136" t="s">
        <v>613</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8"/>
      <c r="N209" s="208"/>
      <c r="O209" s="342" t="s">
        <v>29</v>
      </c>
    </row>
    <row r="210" spans="1:15" ht="16.2" hidden="1" customHeight="1">
      <c r="A210" s="30" t="str">
        <f>E210&amp;F210</f>
        <v>modesg_param_sfcs_taxon_europeiazdeposit</v>
      </c>
      <c r="B210" s="142" t="s">
        <v>26</v>
      </c>
      <c r="C210" s="138" t="s">
        <v>181</v>
      </c>
      <c r="D210" s="134" t="s">
        <v>40</v>
      </c>
      <c r="E210" s="135" t="s">
        <v>182</v>
      </c>
      <c r="F210" s="134" t="s">
        <v>210</v>
      </c>
      <c r="G210" s="136" t="str">
        <f>VLOOKUP(A210,Plano_V3!$A$26:$G$592,7,0)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2" t="s">
        <v>29</v>
      </c>
    </row>
    <row r="211" spans="1:15" ht="16.2" hidden="1" customHeight="1">
      <c r="A211" s="30" t="str">
        <f>E211&amp;F211</f>
        <v>modesg_param_sfcs_taxon_europeiaordem</v>
      </c>
      <c r="B211" s="142" t="s">
        <v>26</v>
      </c>
      <c r="C211" s="138" t="s">
        <v>181</v>
      </c>
      <c r="D211" s="134" t="s">
        <v>40</v>
      </c>
      <c r="E211" s="135" t="s">
        <v>182</v>
      </c>
      <c r="F211" s="134" t="s">
        <v>211</v>
      </c>
      <c r="G211" s="136" t="str">
        <f>VLOOKUP(A211,Plano_V3!$A$26:$G$592,7,0)</f>
        <v>0. Cancelado</v>
      </c>
      <c r="H211" s="136" t="s">
        <v>612</v>
      </c>
      <c r="I211" s="154" t="s">
        <v>652</v>
      </c>
      <c r="J211" s="153">
        <f>IF(VLOOKUP(A211,'Aux - pivots1'!$A:$E,3,0)=0, "",VLOOKUP(A211,'Aux - pivots1'!$A:$E,3,0))</f>
        <v>45561</v>
      </c>
      <c r="K211" s="153" t="str">
        <f>IF(VLOOKUP(A211,'Aux - pivots1'!$A:$E,4,0)=0, "",VLOOKUP(A211,'Aux - pivots1'!$A:$E,4,0))</f>
        <v/>
      </c>
      <c r="L211" s="153" t="str">
        <f>IF(VLOOKUP(A211,'Aux - pivots1'!$A:$E,5,0)=0, "",VLOOKUP(A211,'Aux - pivots1'!$A:$E,5,0))</f>
        <v/>
      </c>
      <c r="M211" s="208"/>
      <c r="N211" s="208"/>
      <c r="O211" s="342" t="s">
        <v>29</v>
      </c>
    </row>
    <row r="212" spans="1:15" ht="16.2" hidden="1" customHeight="1">
      <c r="A212" s="30" t="str">
        <f>E212&amp;F212</f>
        <v>modesg_param_sfcs_taxon_europeianivel_mrc</v>
      </c>
      <c r="B212" s="142" t="s">
        <v>26</v>
      </c>
      <c r="C212" s="138" t="s">
        <v>181</v>
      </c>
      <c r="D212" s="134" t="s">
        <v>40</v>
      </c>
      <c r="E212" s="135" t="s">
        <v>182</v>
      </c>
      <c r="F212" s="134" t="s">
        <v>212</v>
      </c>
      <c r="G212" s="136" t="str">
        <f>VLOOKUP(A212,Plano_V3!$A$26:$G$592,7,0)</f>
        <v>0. Cancelado</v>
      </c>
      <c r="H212" s="136" t="s">
        <v>612</v>
      </c>
      <c r="I212" s="154" t="s">
        <v>652</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2" t="s">
        <v>29</v>
      </c>
    </row>
    <row r="213" spans="1:15" ht="16.2" hidden="1" customHeight="1">
      <c r="A213" s="30" t="str">
        <f t="shared" ref="A213:A244" si="3">E213&amp;F213</f>
        <v>modesg_inp_emss_vclsn.a.</v>
      </c>
      <c r="B213" s="142" t="s">
        <v>26</v>
      </c>
      <c r="C213" s="138" t="s">
        <v>181</v>
      </c>
      <c r="D213" s="134" t="s">
        <v>36</v>
      </c>
      <c r="E213" s="135" t="s">
        <v>213</v>
      </c>
      <c r="F213" s="134" t="s">
        <v>38</v>
      </c>
      <c r="G213" s="136" t="str">
        <f>VLOOKUP(A213,Plano_V3!$A$26:$G$592,7,0)</f>
        <v>1. Concluído</v>
      </c>
      <c r="H213" s="136" t="s">
        <v>613</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8"/>
      <c r="N213" s="208"/>
      <c r="O213" s="342" t="s">
        <v>29</v>
      </c>
    </row>
    <row r="214" spans="1:15" ht="16.2" hidden="1" customHeight="1">
      <c r="A214" s="30" t="str">
        <f t="shared" si="3"/>
        <v>modesg_inp_km_medios_emss_vclsn.a.</v>
      </c>
      <c r="B214" s="142" t="s">
        <v>26</v>
      </c>
      <c r="C214" s="138" t="s">
        <v>181</v>
      </c>
      <c r="D214" s="134" t="s">
        <v>36</v>
      </c>
      <c r="E214" s="135" t="s">
        <v>214</v>
      </c>
      <c r="F214" s="134" t="s">
        <v>38</v>
      </c>
      <c r="G214" s="136" t="str">
        <f>VLOOKUP(A214,Plano_V3!$A$26:$G$592,7,0)</f>
        <v>1. Concluído</v>
      </c>
      <c r="H214" s="136" t="s">
        <v>613</v>
      </c>
      <c r="I214" s="143"/>
      <c r="J214" s="153" t="str">
        <f>IF(VLOOKUP(A214,'Aux - pivots1'!$A:$E,3,0)=0, "",VLOOKUP(A214,'Aux - pivots1'!$A:$E,3,0))</f>
        <v/>
      </c>
      <c r="K214" s="153">
        <f>IF(VLOOKUP(A214,'Aux - pivots1'!$A:$E,4,0)=0, "",VLOOKUP(A214,'Aux - pivots1'!$A:$E,4,0))</f>
        <v>45603</v>
      </c>
      <c r="L214" s="153">
        <f>IF(VLOOKUP(A214,'Aux - pivots1'!$A:$E,5,0)=0, "",VLOOKUP(A214,'Aux - pivots1'!$A:$E,5,0))</f>
        <v>45534</v>
      </c>
      <c r="M214" s="208"/>
      <c r="N214" s="208"/>
      <c r="O214" s="342" t="s">
        <v>29</v>
      </c>
    </row>
    <row r="215" spans="1:15" ht="16.2" hidden="1" customHeight="1">
      <c r="A215" s="30" t="str">
        <f t="shared" si="3"/>
        <v>modesg_inp_empr_excl_parisn.a.</v>
      </c>
      <c r="B215" s="142" t="s">
        <v>26</v>
      </c>
      <c r="C215" s="138" t="s">
        <v>181</v>
      </c>
      <c r="D215" s="134" t="s">
        <v>36</v>
      </c>
      <c r="E215" s="135" t="s">
        <v>215</v>
      </c>
      <c r="F215" s="134" t="s">
        <v>38</v>
      </c>
      <c r="G215" s="136" t="str">
        <f>VLOOKUP(A215,Plano_V3!$A$26:$G$592,7,0)</f>
        <v>1. Concluído</v>
      </c>
      <c r="H215" s="136" t="s">
        <v>613</v>
      </c>
      <c r="I215" s="154"/>
      <c r="J215" s="153" t="str">
        <f>IF(VLOOKUP(A215,'Aux - pivots1'!$A:$E,3,0)=0, "",VLOOKUP(A215,'Aux - pivots1'!$A:$E,3,0))</f>
        <v/>
      </c>
      <c r="K215" s="153">
        <f>IF(VLOOKUP(A215,'Aux - pivots1'!$A:$E,4,0)=0, "",VLOOKUP(A215,'Aux - pivots1'!$A:$E,4,0))</f>
        <v>45603</v>
      </c>
      <c r="L215" s="153" t="str">
        <f>IF(VLOOKUP(A215,'Aux - pivots1'!$A:$E,5,0)=0, "",VLOOKUP(A215,'Aux - pivots1'!$A:$E,5,0))</f>
        <v/>
      </c>
      <c r="M215" s="208"/>
      <c r="N215" s="208"/>
      <c r="O215" s="342" t="s">
        <v>29</v>
      </c>
    </row>
    <row r="216" spans="1:15" ht="16.2" hidden="1" customHeight="1">
      <c r="A216" s="30" t="str">
        <f t="shared" si="3"/>
        <v>modesg_inp_nfrd_alinhamento_taxn.a.</v>
      </c>
      <c r="B216" s="142" t="s">
        <v>26</v>
      </c>
      <c r="C216" s="138" t="s">
        <v>181</v>
      </c>
      <c r="D216" s="134" t="s">
        <v>36</v>
      </c>
      <c r="E216" s="135" t="s">
        <v>216</v>
      </c>
      <c r="F216" s="134" t="s">
        <v>38</v>
      </c>
      <c r="G216" s="136" t="str">
        <f>VLOOKUP(A216,Plano_V3!$A$26:$G$592,7,0)</f>
        <v>1. Concluído</v>
      </c>
      <c r="H216" s="136" t="s">
        <v>613</v>
      </c>
      <c r="I216" s="143"/>
      <c r="J216" s="153" t="str">
        <f>IF(VLOOKUP(A216,'Aux - pivots1'!$A:$E,3,0)=0, "",VLOOKUP(A216,'Aux - pivots1'!$A:$E,3,0))</f>
        <v/>
      </c>
      <c r="K216" s="153">
        <f>IF(VLOOKUP(A216,'Aux - pivots1'!$A:$E,4,0)=0, "",VLOOKUP(A216,'Aux - pivots1'!$A:$E,4,0))</f>
        <v>45603</v>
      </c>
      <c r="L216" s="153">
        <f>IF(VLOOKUP(A216,'Aux - pivots1'!$A:$E,5,0)=0, "",VLOOKUP(A216,'Aux - pivots1'!$A:$E,5,0))</f>
        <v>45534</v>
      </c>
      <c r="M216" s="208"/>
      <c r="N216" s="208"/>
      <c r="O216" s="342" t="s">
        <v>29</v>
      </c>
    </row>
    <row r="217" spans="1:15" ht="16.2" hidden="1" customHeight="1">
      <c r="A217" s="30" t="str">
        <f t="shared" si="3"/>
        <v>modesg_inp_risco_fisicon.a.</v>
      </c>
      <c r="B217" s="142" t="s">
        <v>26</v>
      </c>
      <c r="C217" s="138" t="s">
        <v>181</v>
      </c>
      <c r="D217" s="134" t="s">
        <v>36</v>
      </c>
      <c r="E217" s="135" t="s">
        <v>217</v>
      </c>
      <c r="F217" s="134" t="s">
        <v>38</v>
      </c>
      <c r="G217" s="136" t="str">
        <f>VLOOKUP(A217,Plano_V3!$A$26:$G$592,7,0)</f>
        <v>1. Concluído</v>
      </c>
      <c r="H217" s="136" t="s">
        <v>613</v>
      </c>
      <c r="I217" s="154"/>
      <c r="J217" s="153" t="str">
        <f>IF(VLOOKUP(A217,'Aux - pivots1'!$A:$E,3,0)=0, "",VLOOKUP(A217,'Aux - pivots1'!$A:$E,3,0))</f>
        <v/>
      </c>
      <c r="K217" s="153">
        <f>IF(VLOOKUP(A217,'Aux - pivots1'!$A:$E,4,0)=0, "",VLOOKUP(A217,'Aux - pivots1'!$A:$E,4,0))</f>
        <v>45603</v>
      </c>
      <c r="L217" s="153" t="str">
        <f>IF(VLOOKUP(A217,'Aux - pivots1'!$A:$E,5,0)=0, "",VLOOKUP(A217,'Aux - pivots1'!$A:$E,5,0))</f>
        <v/>
      </c>
      <c r="M217" s="208"/>
      <c r="N217" s="208"/>
      <c r="O217" s="342" t="s">
        <v>29</v>
      </c>
    </row>
    <row r="218" spans="1:15" ht="16.2" hidden="1" customHeight="1">
      <c r="A218" s="30" t="str">
        <f t="shared" si="3"/>
        <v>modesg_inp_emss_scibn.a.</v>
      </c>
      <c r="B218" s="142" t="s">
        <v>26</v>
      </c>
      <c r="C218" s="138" t="s">
        <v>181</v>
      </c>
      <c r="D218" s="134" t="s">
        <v>36</v>
      </c>
      <c r="E218" s="135" t="s">
        <v>218</v>
      </c>
      <c r="F218" s="134" t="s">
        <v>38</v>
      </c>
      <c r="G218" s="136" t="str">
        <f>VLOOKUP(A218,Plano_V3!$A$26:$G$592,7,0)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2" t="s">
        <v>29</v>
      </c>
    </row>
    <row r="219" spans="1:15" ht="16.2" hidden="1" customHeight="1">
      <c r="A219" s="30" t="str">
        <f t="shared" si="3"/>
        <v>modesg_inp_emss_nacen.a.</v>
      </c>
      <c r="B219" s="142" t="s">
        <v>26</v>
      </c>
      <c r="C219" s="138" t="s">
        <v>181</v>
      </c>
      <c r="D219" s="134" t="s">
        <v>36</v>
      </c>
      <c r="E219" s="135" t="s">
        <v>219</v>
      </c>
      <c r="F219" s="134" t="s">
        <v>38</v>
      </c>
      <c r="G219" s="136" t="str">
        <f>VLOOKUP(A219,Plano_V3!$A$26:$G$592,7,0)</f>
        <v>1. Concluído</v>
      </c>
      <c r="H219" s="136" t="s">
        <v>613</v>
      </c>
      <c r="I219" s="143"/>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2" t="s">
        <v>29</v>
      </c>
    </row>
    <row r="220" spans="1:15" ht="16.2" hidden="1" customHeight="1">
      <c r="A220" s="30" t="str">
        <f t="shared" si="3"/>
        <v>modesg_inp_emss_bens_imoveisn.a.</v>
      </c>
      <c r="B220" s="142" t="s">
        <v>26</v>
      </c>
      <c r="C220" s="138" t="s">
        <v>181</v>
      </c>
      <c r="D220" s="134" t="s">
        <v>36</v>
      </c>
      <c r="E220" s="135" t="s">
        <v>220</v>
      </c>
      <c r="F220" s="134" t="s">
        <v>38</v>
      </c>
      <c r="G220" s="136" t="str">
        <f>VLOOKUP(A220,Plano_V3!$A$26:$G$592,7,0)</f>
        <v>1. Concluído</v>
      </c>
      <c r="H220" s="136" t="s">
        <v>613</v>
      </c>
      <c r="I220" s="143"/>
      <c r="J220" s="153" t="str">
        <f>IF(VLOOKUP(A220,'Aux - pivots1'!$A:$E,3,0)=0, "",VLOOKUP(A220,'Aux - pivots1'!$A:$E,3,0))</f>
        <v/>
      </c>
      <c r="K220" s="153">
        <f>IF(VLOOKUP(A220,'Aux - pivots1'!$A:$E,4,0)=0, "",VLOOKUP(A220,'Aux - pivots1'!$A:$E,4,0))</f>
        <v>45603</v>
      </c>
      <c r="L220" s="153">
        <f>IF(VLOOKUP(A220,'Aux - pivots1'!$A:$E,5,0)=0, "",VLOOKUP(A220,'Aux - pivots1'!$A:$E,5,0))</f>
        <v>45534</v>
      </c>
      <c r="M220" s="208"/>
      <c r="N220" s="208"/>
      <c r="O220" s="342" t="s">
        <v>29</v>
      </c>
    </row>
    <row r="221" spans="1:15" ht="16.2" hidden="1" customHeight="1">
      <c r="A221" s="30" t="str">
        <f t="shared" si="3"/>
        <v>modesg_inp_emss_vclsref_date</v>
      </c>
      <c r="B221" s="142" t="s">
        <v>26</v>
      </c>
      <c r="C221" s="138" t="s">
        <v>181</v>
      </c>
      <c r="D221" s="134" t="s">
        <v>40</v>
      </c>
      <c r="E221" s="135" t="s">
        <v>213</v>
      </c>
      <c r="F221" s="134" t="s">
        <v>208</v>
      </c>
      <c r="G221" s="136" t="str">
        <f>VLOOKUP(A221,Plano_V3!$A$26:$G$592,7,0)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2" t="s">
        <v>29</v>
      </c>
    </row>
    <row r="222" spans="1:15" ht="16.2" hidden="1" customHeight="1">
      <c r="A222" s="30" t="str">
        <f t="shared" si="3"/>
        <v>modesg_inp_emss_vclsnome_regiao</v>
      </c>
      <c r="B222" s="142" t="s">
        <v>26</v>
      </c>
      <c r="C222" s="138" t="s">
        <v>181</v>
      </c>
      <c r="D222" s="134" t="s">
        <v>40</v>
      </c>
      <c r="E222" s="135" t="s">
        <v>213</v>
      </c>
      <c r="F222" s="134" t="s">
        <v>221</v>
      </c>
      <c r="G222" s="136" t="str">
        <f>VLOOKUP(A222,Plano_V3!$A$26:$G$592,7,0)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2" t="s">
        <v>29</v>
      </c>
    </row>
    <row r="223" spans="1:15" ht="16.2" hidden="1" customHeight="1">
      <c r="A223" s="30" t="str">
        <f t="shared" si="3"/>
        <v>modesg_inp_emss_vclsnome_pais</v>
      </c>
      <c r="B223" s="142" t="s">
        <v>26</v>
      </c>
      <c r="C223" s="138" t="s">
        <v>181</v>
      </c>
      <c r="D223" s="134" t="s">
        <v>40</v>
      </c>
      <c r="E223" s="135" t="s">
        <v>213</v>
      </c>
      <c r="F223" s="134" t="s">
        <v>222</v>
      </c>
      <c r="G223" s="136" t="str">
        <f>VLOOKUP(A223,Plano_V3!$A$26:$G$592,7,0)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2" t="s">
        <v>29</v>
      </c>
    </row>
    <row r="224" spans="1:15" ht="16.2" hidden="1" customHeight="1">
      <c r="A224" s="30" t="str">
        <f t="shared" si="3"/>
        <v>modesg_inp_emss_vclsnome_estado</v>
      </c>
      <c r="B224" s="142" t="s">
        <v>26</v>
      </c>
      <c r="C224" s="138" t="s">
        <v>181</v>
      </c>
      <c r="D224" s="134" t="s">
        <v>40</v>
      </c>
      <c r="E224" s="135" t="s">
        <v>213</v>
      </c>
      <c r="F224" s="134" t="s">
        <v>223</v>
      </c>
      <c r="G224" s="136" t="str">
        <f>VLOOKUP(A224,Plano_V3!$A$26:$G$592,7,0)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2" t="s">
        <v>29</v>
      </c>
    </row>
    <row r="225" spans="1:15" ht="16.2" hidden="1" customHeight="1">
      <c r="A225" s="30" t="str">
        <f t="shared" si="3"/>
        <v>modesg_inp_emss_vclstipo_veiculo</v>
      </c>
      <c r="B225" s="142" t="s">
        <v>26</v>
      </c>
      <c r="C225" s="138" t="s">
        <v>181</v>
      </c>
      <c r="D225" s="134" t="s">
        <v>40</v>
      </c>
      <c r="E225" s="135" t="s">
        <v>213</v>
      </c>
      <c r="F225" s="134" t="s">
        <v>224</v>
      </c>
      <c r="G225" s="136" t="str">
        <f>VLOOKUP(A225,Plano_V3!$A$26:$G$592,7,0)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2" t="s">
        <v>29</v>
      </c>
    </row>
    <row r="226" spans="1:15" ht="16.2" hidden="1" customHeight="1">
      <c r="A226" s="30" t="str">
        <f t="shared" si="3"/>
        <v>modesg_inp_emss_vclstipo_motor</v>
      </c>
      <c r="B226" s="142" t="s">
        <v>26</v>
      </c>
      <c r="C226" s="138" t="s">
        <v>181</v>
      </c>
      <c r="D226" s="134" t="s">
        <v>40</v>
      </c>
      <c r="E226" s="135" t="s">
        <v>213</v>
      </c>
      <c r="F226" s="134" t="s">
        <v>225</v>
      </c>
      <c r="G226" s="136" t="str">
        <f>VLOOKUP(A226,Plano_V3!$A$26:$G$592,7,0)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2" t="s">
        <v>29</v>
      </c>
    </row>
    <row r="227" spans="1:15" ht="16.2" hidden="1" customHeight="1">
      <c r="A227" s="30" t="str">
        <f t="shared" si="3"/>
        <v>modesg_inp_emss_vclsmarca</v>
      </c>
      <c r="B227" s="142" t="s">
        <v>26</v>
      </c>
      <c r="C227" s="138" t="s">
        <v>181</v>
      </c>
      <c r="D227" s="134" t="s">
        <v>40</v>
      </c>
      <c r="E227" s="135" t="s">
        <v>213</v>
      </c>
      <c r="F227" s="134" t="s">
        <v>226</v>
      </c>
      <c r="G227" s="136" t="str">
        <f>VLOOKUP(A227,Plano_V3!$A$26:$G$592,7,0)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2" t="s">
        <v>29</v>
      </c>
    </row>
    <row r="228" spans="1:15" ht="16.2" hidden="1" customHeight="1">
      <c r="A228" s="30" t="str">
        <f t="shared" si="3"/>
        <v>modesg_inp_emss_vclsmodelo</v>
      </c>
      <c r="B228" s="142" t="s">
        <v>26</v>
      </c>
      <c r="C228" s="138" t="s">
        <v>181</v>
      </c>
      <c r="D228" s="134" t="s">
        <v>40</v>
      </c>
      <c r="E228" s="135" t="s">
        <v>213</v>
      </c>
      <c r="F228" s="134" t="s">
        <v>227</v>
      </c>
      <c r="G228" s="136" t="str">
        <f>VLOOKUP(A228,Plano_V3!$A$26:$G$592,7,0)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2" t="s">
        <v>29</v>
      </c>
    </row>
    <row r="229" spans="1:15" ht="16.2" hidden="1" customHeight="1">
      <c r="A229" s="30" t="str">
        <f t="shared" si="3"/>
        <v>modesg_inp_emss_vclssubgrupo</v>
      </c>
      <c r="B229" s="142" t="s">
        <v>26</v>
      </c>
      <c r="C229" s="138" t="s">
        <v>181</v>
      </c>
      <c r="D229" s="134" t="s">
        <v>40</v>
      </c>
      <c r="E229" s="135" t="s">
        <v>213</v>
      </c>
      <c r="F229" s="134" t="s">
        <v>228</v>
      </c>
      <c r="G229" s="136" t="str">
        <f>VLOOKUP(A229,Plano_V3!$A$26:$G$592,7,0)</f>
        <v>1. Concluído</v>
      </c>
      <c r="H229" s="136" t="s">
        <v>613</v>
      </c>
      <c r="I229" s="144" t="s">
        <v>653</v>
      </c>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2" t="s">
        <v>29</v>
      </c>
    </row>
    <row r="230" spans="1:15" ht="16.2" hidden="1" customHeight="1">
      <c r="A230" s="30" t="str">
        <f t="shared" si="3"/>
        <v>modesg_inp_emss_vclsnome_unidade_funcional</v>
      </c>
      <c r="B230" s="142" t="s">
        <v>26</v>
      </c>
      <c r="C230" s="138" t="s">
        <v>181</v>
      </c>
      <c r="D230" s="134" t="s">
        <v>40</v>
      </c>
      <c r="E230" s="135" t="s">
        <v>213</v>
      </c>
      <c r="F230" s="134" t="s">
        <v>229</v>
      </c>
      <c r="G230" s="136" t="str">
        <f>VLOOKUP(A230,Plano_V3!$A$26:$G$592,7,0)</f>
        <v>1. Concluído</v>
      </c>
      <c r="H230" s="136" t="s">
        <v>613</v>
      </c>
      <c r="I230" s="143"/>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2" t="s">
        <v>29</v>
      </c>
    </row>
    <row r="231" spans="1:15" ht="16.2" hidden="1" customHeight="1">
      <c r="A231" s="30" t="str">
        <f t="shared" si="3"/>
        <v>modesg_inp_emss_vclsunidade_funcional</v>
      </c>
      <c r="B231" s="142" t="s">
        <v>26</v>
      </c>
      <c r="C231" s="138" t="s">
        <v>181</v>
      </c>
      <c r="D231" s="134" t="s">
        <v>40</v>
      </c>
      <c r="E231" s="135" t="s">
        <v>213</v>
      </c>
      <c r="F231" s="134" t="s">
        <v>230</v>
      </c>
      <c r="G231" s="136" t="str">
        <f>VLOOKUP(A231,Plano_V3!$A$26:$G$592,7,0)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2" t="s">
        <v>29</v>
      </c>
    </row>
    <row r="232" spans="1:15" ht="16.2" hidden="1" customHeight="1">
      <c r="A232" s="30" t="str">
        <f t="shared" si="3"/>
        <v>modesg_inp_emss_vclsnome_fator_emissao</v>
      </c>
      <c r="B232" s="142" t="s">
        <v>26</v>
      </c>
      <c r="C232" s="138" t="s">
        <v>181</v>
      </c>
      <c r="D232" s="134" t="s">
        <v>40</v>
      </c>
      <c r="E232" s="135" t="s">
        <v>213</v>
      </c>
      <c r="F232" s="134" t="s">
        <v>231</v>
      </c>
      <c r="G232" s="136" t="str">
        <f>VLOOKUP(A232,Plano_V3!$A$26:$G$592,7,0)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2" t="s">
        <v>29</v>
      </c>
    </row>
    <row r="233" spans="1:15" ht="16.2" hidden="1" customHeight="1">
      <c r="A233" s="30" t="str">
        <f t="shared" si="3"/>
        <v>modesg_inp_emss_vclsunidade_fator_de_emissao</v>
      </c>
      <c r="B233" s="142" t="s">
        <v>26</v>
      </c>
      <c r="C233" s="138" t="s">
        <v>181</v>
      </c>
      <c r="D233" s="134" t="s">
        <v>40</v>
      </c>
      <c r="E233" s="135" t="s">
        <v>213</v>
      </c>
      <c r="F233" s="134" t="s">
        <v>232</v>
      </c>
      <c r="G233" s="136" t="str">
        <f>VLOOKUP(A233,Plano_V3!$A$26:$G$592,7,0)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2" t="s">
        <v>29</v>
      </c>
    </row>
    <row r="234" spans="1:15" ht="16.2" hidden="1" customHeight="1">
      <c r="A234" s="30" t="str">
        <f t="shared" si="3"/>
        <v>modesg_inp_emss_vclsscore_qualidade</v>
      </c>
      <c r="B234" s="142" t="s">
        <v>26</v>
      </c>
      <c r="C234" s="138" t="s">
        <v>181</v>
      </c>
      <c r="D234" s="134" t="s">
        <v>40</v>
      </c>
      <c r="E234" s="135" t="s">
        <v>213</v>
      </c>
      <c r="F234" s="134" t="s">
        <v>233</v>
      </c>
      <c r="G234" s="136" t="str">
        <f>VLOOKUP(A234,Plano_V3!$A$26:$G$592,7,0)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2" t="s">
        <v>29</v>
      </c>
    </row>
    <row r="235" spans="1:15" ht="16.2" hidden="1" customHeight="1">
      <c r="A235" s="30" t="str">
        <f t="shared" si="3"/>
        <v>modesg_inp_emss_vclsscp1_ftr_emss</v>
      </c>
      <c r="B235" s="142" t="s">
        <v>26</v>
      </c>
      <c r="C235" s="138" t="s">
        <v>181</v>
      </c>
      <c r="D235" s="134" t="s">
        <v>40</v>
      </c>
      <c r="E235" s="135" t="s">
        <v>213</v>
      </c>
      <c r="F235" s="134" t="s">
        <v>234</v>
      </c>
      <c r="G235" s="136" t="str">
        <f>VLOOKUP(A235,Plano_V3!$A$26:$G$592,7,0)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2" t="s">
        <v>29</v>
      </c>
    </row>
    <row r="236" spans="1:15" ht="16.2" hidden="1" customHeight="1">
      <c r="A236" s="30" t="str">
        <f t="shared" si="3"/>
        <v>modesg_inp_emss_vclsscp2_ftr_emss</v>
      </c>
      <c r="B236" s="142" t="s">
        <v>26</v>
      </c>
      <c r="C236" s="138" t="s">
        <v>181</v>
      </c>
      <c r="D236" s="134" t="s">
        <v>40</v>
      </c>
      <c r="E236" s="135" t="s">
        <v>213</v>
      </c>
      <c r="F236" s="134" t="s">
        <v>235</v>
      </c>
      <c r="G236" s="136" t="str">
        <f>VLOOKUP(A236,Plano_V3!$A$26:$G$592,7,0)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2" t="s">
        <v>29</v>
      </c>
    </row>
    <row r="237" spans="1:15" ht="16.2" hidden="1" customHeight="1">
      <c r="A237" s="30" t="str">
        <f t="shared" si="3"/>
        <v>modesg_inp_emss_vclsscp3_ftr_emss</v>
      </c>
      <c r="B237" s="142" t="s">
        <v>26</v>
      </c>
      <c r="C237" s="138" t="s">
        <v>181</v>
      </c>
      <c r="D237" s="134" t="s">
        <v>40</v>
      </c>
      <c r="E237" s="135" t="s">
        <v>213</v>
      </c>
      <c r="F237" s="134" t="s">
        <v>236</v>
      </c>
      <c r="G237" s="136" t="str">
        <f>VLOOKUP(A237,Plano_V3!$A$26:$G$592,7,0)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2" t="s">
        <v>29</v>
      </c>
    </row>
    <row r="238" spans="1:15" ht="16.2" hidden="1" customHeight="1">
      <c r="A238" s="30" t="str">
        <f t="shared" si="3"/>
        <v>modesg_inp_km_medios_emss_vclsref_date</v>
      </c>
      <c r="B238" s="142" t="s">
        <v>26</v>
      </c>
      <c r="C238" s="138" t="s">
        <v>181</v>
      </c>
      <c r="D238" s="134" t="s">
        <v>40</v>
      </c>
      <c r="E238" s="135" t="s">
        <v>214</v>
      </c>
      <c r="F238" s="134" t="s">
        <v>208</v>
      </c>
      <c r="G238" s="136" t="str">
        <f>VLOOKUP(A238,Plano_V3!$A$26:$G$592,7,0)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2" t="s">
        <v>29</v>
      </c>
    </row>
    <row r="239" spans="1:15" ht="16.2" hidden="1" customHeight="1">
      <c r="A239" s="30" t="str">
        <f t="shared" si="3"/>
        <v>modesg_inp_km_medios_emss_vclsnome_pais</v>
      </c>
      <c r="B239" s="142" t="s">
        <v>26</v>
      </c>
      <c r="C239" s="138" t="s">
        <v>181</v>
      </c>
      <c r="D239" s="134" t="s">
        <v>40</v>
      </c>
      <c r="E239" s="135" t="s">
        <v>214</v>
      </c>
      <c r="F239" s="134" t="s">
        <v>222</v>
      </c>
      <c r="G239" s="136" t="str">
        <f>VLOOKUP(A239,Plano_V3!$A$26:$G$592,7,0)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2" t="s">
        <v>29</v>
      </c>
    </row>
    <row r="240" spans="1:15" ht="16.2" hidden="1" customHeight="1">
      <c r="A240" s="30" t="str">
        <f t="shared" si="3"/>
        <v>modesg_inp_km_medios_emss_vclstipo_vcl</v>
      </c>
      <c r="B240" s="142" t="s">
        <v>26</v>
      </c>
      <c r="C240" s="138" t="s">
        <v>181</v>
      </c>
      <c r="D240" s="134" t="s">
        <v>40</v>
      </c>
      <c r="E240" s="135" t="s">
        <v>214</v>
      </c>
      <c r="F240" s="134" t="s">
        <v>237</v>
      </c>
      <c r="G240" s="136" t="str">
        <f>VLOOKUP(A240,Plano_V3!$A$26:$G$592,7,0)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2" t="s">
        <v>29</v>
      </c>
    </row>
    <row r="241" spans="1:15" ht="16.2" hidden="1" customHeight="1">
      <c r="A241" s="30" t="str">
        <f t="shared" si="3"/>
        <v>modesg_inp_km_medios_emss_vclstipo_motor</v>
      </c>
      <c r="B241" s="142" t="s">
        <v>26</v>
      </c>
      <c r="C241" s="138" t="s">
        <v>181</v>
      </c>
      <c r="D241" s="134" t="s">
        <v>40</v>
      </c>
      <c r="E241" s="135" t="s">
        <v>214</v>
      </c>
      <c r="F241" s="134" t="s">
        <v>225</v>
      </c>
      <c r="G241" s="136" t="str">
        <f>VLOOKUP(A241,Plano_V3!$A$26:$G$592,7,0)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2" t="s">
        <v>29</v>
      </c>
    </row>
    <row r="242" spans="1:15" ht="16.2" hidden="1" customHeight="1">
      <c r="A242" s="30" t="str">
        <f t="shared" si="3"/>
        <v>modesg_inp_km_medios_emss_vclssubgrupo</v>
      </c>
      <c r="B242" s="142" t="s">
        <v>26</v>
      </c>
      <c r="C242" s="138" t="s">
        <v>181</v>
      </c>
      <c r="D242" s="134" t="s">
        <v>40</v>
      </c>
      <c r="E242" s="135" t="s">
        <v>214</v>
      </c>
      <c r="F242" s="134" t="s">
        <v>228</v>
      </c>
      <c r="G242" s="136" t="str">
        <f>VLOOKUP(A242,Plano_V3!$A$26:$G$592,7,0)</f>
        <v>1. Concluído</v>
      </c>
      <c r="H242" s="136" t="s">
        <v>613</v>
      </c>
      <c r="I242" s="144" t="s">
        <v>653</v>
      </c>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2" t="s">
        <v>29</v>
      </c>
    </row>
    <row r="243" spans="1:15" ht="16.2" hidden="1" customHeight="1">
      <c r="A243" s="30" t="str">
        <f t="shared" si="3"/>
        <v>modesg_inp_km_medios_emss_vclsmedia_km</v>
      </c>
      <c r="B243" s="142" t="s">
        <v>26</v>
      </c>
      <c r="C243" s="138" t="s">
        <v>181</v>
      </c>
      <c r="D243" s="134" t="s">
        <v>40</v>
      </c>
      <c r="E243" s="135" t="s">
        <v>214</v>
      </c>
      <c r="F243" s="134" t="s">
        <v>238</v>
      </c>
      <c r="G243" s="136" t="str">
        <f>VLOOKUP(A243,Plano_V3!$A$26:$G$592,7,0)</f>
        <v>1. Concluído</v>
      </c>
      <c r="H243" s="136" t="s">
        <v>613</v>
      </c>
      <c r="I243" s="143"/>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2" t="s">
        <v>29</v>
      </c>
    </row>
    <row r="244" spans="1:15" ht="16.2" hidden="1" customHeight="1">
      <c r="A244" s="30" t="str">
        <f t="shared" si="3"/>
        <v>modesg_inp_empr_excl_parisref_date</v>
      </c>
      <c r="B244" s="142" t="s">
        <v>26</v>
      </c>
      <c r="C244" s="138" t="s">
        <v>181</v>
      </c>
      <c r="D244" s="134" t="s">
        <v>40</v>
      </c>
      <c r="E244" s="135" t="s">
        <v>215</v>
      </c>
      <c r="F244" s="134" t="s">
        <v>208</v>
      </c>
      <c r="G244" s="136" t="str">
        <f>VLOOKUP(A244,Plano_V3!$A$26:$G$592,7,0)</f>
        <v>1. Concluído</v>
      </c>
      <c r="H244" s="136" t="s">
        <v>613</v>
      </c>
      <c r="I244" s="154"/>
      <c r="J244" s="153" t="str">
        <f>IF(VLOOKUP(A244,'Aux - pivots1'!$A:$E,3,0)=0, "",VLOOKUP(A244,'Aux - pivots1'!$A:$E,3,0))</f>
        <v/>
      </c>
      <c r="K244" s="153">
        <f>IF(VLOOKUP(A244,'Aux - pivots1'!$A:$E,4,0)=0, "",VLOOKUP(A244,'Aux - pivots1'!$A:$E,4,0))</f>
        <v>45603</v>
      </c>
      <c r="L244" s="153" t="str">
        <f>IF(VLOOKUP(A244,'Aux - pivots1'!$A:$E,5,0)=0, "",VLOOKUP(A244,'Aux - pivots1'!$A:$E,5,0))</f>
        <v/>
      </c>
      <c r="M244" s="208"/>
      <c r="N244" s="208"/>
      <c r="O244" s="342" t="s">
        <v>29</v>
      </c>
    </row>
    <row r="245" spans="1:15" ht="16.2" hidden="1" customHeight="1">
      <c r="A245" s="30" t="str">
        <f t="shared" ref="A245:A274" si="4">E245&amp;F245</f>
        <v>modesg_inp_empr_excl_parisisin</v>
      </c>
      <c r="B245" s="142" t="s">
        <v>26</v>
      </c>
      <c r="C245" s="138" t="s">
        <v>181</v>
      </c>
      <c r="D245" s="134" t="s">
        <v>40</v>
      </c>
      <c r="E245" s="135" t="s">
        <v>215</v>
      </c>
      <c r="F245" s="134" t="s">
        <v>239</v>
      </c>
      <c r="G245" s="136" t="str">
        <f>VLOOKUP(A245,Plano_V3!$A$26:$G$592,7,0)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2" t="s">
        <v>29</v>
      </c>
    </row>
    <row r="246" spans="1:15" ht="16.2" hidden="1" customHeight="1">
      <c r="A246" s="30" t="str">
        <f t="shared" si="4"/>
        <v>modesg_inp_empr_excl_parisclei</v>
      </c>
      <c r="B246" s="142" t="s">
        <v>26</v>
      </c>
      <c r="C246" s="138" t="s">
        <v>181</v>
      </c>
      <c r="D246" s="134" t="s">
        <v>40</v>
      </c>
      <c r="E246" s="135" t="s">
        <v>215</v>
      </c>
      <c r="F246" s="134" t="s">
        <v>240</v>
      </c>
      <c r="G246" s="136" t="str">
        <f>VLOOKUP(A246,Plano_V3!$A$26:$G$592,7,0)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2" t="s">
        <v>29</v>
      </c>
    </row>
    <row r="247" spans="1:15" ht="16.2" hidden="1" customHeight="1">
      <c r="A247" s="30" t="str">
        <f t="shared" si="4"/>
        <v>modesg_inp_empr_excl_parisccli_kgl</v>
      </c>
      <c r="B247" s="142" t="s">
        <v>26</v>
      </c>
      <c r="C247" s="138" t="s">
        <v>181</v>
      </c>
      <c r="D247" s="134" t="s">
        <v>40</v>
      </c>
      <c r="E247" s="135" t="s">
        <v>215</v>
      </c>
      <c r="F247" s="134" t="s">
        <v>241</v>
      </c>
      <c r="G247" s="136" t="str">
        <f>VLOOKUP(A247,Plano_V3!$A$26:$G$592,7,0)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2" t="s">
        <v>29</v>
      </c>
    </row>
    <row r="248" spans="1:15" ht="16.2" hidden="1" customHeight="1">
      <c r="A248" s="30" t="str">
        <f t="shared" si="4"/>
        <v>modesg_inp_empr_excl_parisnome_entidade</v>
      </c>
      <c r="B248" s="142" t="s">
        <v>26</v>
      </c>
      <c r="C248" s="138" t="s">
        <v>181</v>
      </c>
      <c r="D248" s="134" t="s">
        <v>40</v>
      </c>
      <c r="E248" s="135" t="s">
        <v>215</v>
      </c>
      <c r="F248" s="134" t="s">
        <v>242</v>
      </c>
      <c r="G248" s="136" t="str">
        <f>VLOOKUP(A248,Plano_V3!$A$26:$G$592,7,0)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2" t="s">
        <v>29</v>
      </c>
    </row>
    <row r="249" spans="1:15" ht="16.2" hidden="1" customHeight="1">
      <c r="A249" s="30" t="str">
        <f t="shared" si="4"/>
        <v>modesg_inp_empr_excl_parisflg_scib</v>
      </c>
      <c r="B249" s="142" t="s">
        <v>26</v>
      </c>
      <c r="C249" s="138" t="s">
        <v>181</v>
      </c>
      <c r="D249" s="134" t="s">
        <v>40</v>
      </c>
      <c r="E249" s="135" t="s">
        <v>215</v>
      </c>
      <c r="F249" s="134" t="s">
        <v>243</v>
      </c>
      <c r="G249" s="136" t="str">
        <f>VLOOKUP(A249,Plano_V3!$A$26:$G$592,7,0)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2" t="s">
        <v>29</v>
      </c>
    </row>
    <row r="250" spans="1:15" ht="16.2" hidden="1" customHeight="1">
      <c r="A250" s="30" t="str">
        <f t="shared" si="4"/>
        <v>modesg_inp_empr_excl_parisnome_pais</v>
      </c>
      <c r="B250" s="142" t="s">
        <v>26</v>
      </c>
      <c r="C250" s="138" t="s">
        <v>181</v>
      </c>
      <c r="D250" s="134" t="s">
        <v>40</v>
      </c>
      <c r="E250" s="135" t="s">
        <v>215</v>
      </c>
      <c r="F250" s="134" t="s">
        <v>222</v>
      </c>
      <c r="G250" s="136" t="str">
        <f>VLOOKUP(A250,Plano_V3!$A$26:$G$592,7,0)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2" t="s">
        <v>29</v>
      </c>
    </row>
    <row r="251" spans="1:15" ht="16.2" hidden="1" customHeight="1">
      <c r="A251" s="30" t="str">
        <f t="shared" si="4"/>
        <v>modesg_inp_nfrd_alinhamento_taxref_date</v>
      </c>
      <c r="B251" s="142" t="s">
        <v>26</v>
      </c>
      <c r="C251" s="138" t="s">
        <v>181</v>
      </c>
      <c r="D251" s="134" t="s">
        <v>40</v>
      </c>
      <c r="E251" s="135" t="s">
        <v>216</v>
      </c>
      <c r="F251" s="134" t="s">
        <v>208</v>
      </c>
      <c r="G251" s="136" t="str">
        <f>VLOOKUP(A251,Plano_V3!$A$26:$G$592,7,0)</f>
        <v>1. Concluído</v>
      </c>
      <c r="H251" s="136" t="s">
        <v>613</v>
      </c>
      <c r="I251" s="143"/>
      <c r="J251" s="153" t="str">
        <f>IF(VLOOKUP(A251,'Aux - pivots1'!$A:$E,3,0)=0, "",VLOOKUP(A251,'Aux - pivots1'!$A:$E,3,0))</f>
        <v/>
      </c>
      <c r="K251" s="153">
        <f>IF(VLOOKUP(A251,'Aux - pivots1'!$A:$E,4,0)=0, "",VLOOKUP(A251,'Aux - pivots1'!$A:$E,4,0))</f>
        <v>45603</v>
      </c>
      <c r="L251" s="153">
        <f>IF(VLOOKUP(A251,'Aux - pivots1'!$A:$E,5,0)=0, "",VLOOKUP(A251,'Aux - pivots1'!$A:$E,5,0))</f>
        <v>45534</v>
      </c>
      <c r="M251" s="208"/>
      <c r="N251" s="208"/>
      <c r="O251" s="342" t="s">
        <v>29</v>
      </c>
    </row>
    <row r="252" spans="1:15" ht="16.2" hidden="1" customHeight="1">
      <c r="A252" s="30" t="str">
        <f t="shared" si="4"/>
        <v>modesg_inp_nfrd_alinhamento_taxccli_kgl</v>
      </c>
      <c r="B252" s="142" t="s">
        <v>26</v>
      </c>
      <c r="C252" s="138" t="s">
        <v>181</v>
      </c>
      <c r="D252" s="134" t="s">
        <v>40</v>
      </c>
      <c r="E252" s="135" t="s">
        <v>216</v>
      </c>
      <c r="F252" s="134" t="s">
        <v>241</v>
      </c>
      <c r="G252" s="136" t="str">
        <f>VLOOKUP(A252,Plano_V3!$A$26:$G$592,7,0)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2" t="s">
        <v>29</v>
      </c>
    </row>
    <row r="253" spans="1:15" ht="16.2" hidden="1" customHeight="1">
      <c r="A253" s="30" t="str">
        <f t="shared" si="4"/>
        <v>modesg_inp_nfrd_alinhamento_taxclei</v>
      </c>
      <c r="B253" s="142" t="s">
        <v>26</v>
      </c>
      <c r="C253" s="138" t="s">
        <v>181</v>
      </c>
      <c r="D253" s="134" t="s">
        <v>40</v>
      </c>
      <c r="E253" s="135" t="s">
        <v>216</v>
      </c>
      <c r="F253" s="134" t="s">
        <v>240</v>
      </c>
      <c r="G253" s="136" t="str">
        <f>VLOOKUP(A253,Plano_V3!$A$26:$G$592,7,0)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2" t="s">
        <v>29</v>
      </c>
    </row>
    <row r="254" spans="1:15" ht="16.2" hidden="1" customHeight="1">
      <c r="A254" s="30" t="str">
        <f t="shared" si="4"/>
        <v>modesg_inp_nfrd_alinhamento_taxperm_id</v>
      </c>
      <c r="B254" s="142" t="s">
        <v>26</v>
      </c>
      <c r="C254" s="138" t="s">
        <v>181</v>
      </c>
      <c r="D254" s="134" t="s">
        <v>40</v>
      </c>
      <c r="E254" s="135" t="s">
        <v>216</v>
      </c>
      <c r="F254" s="134" t="s">
        <v>244</v>
      </c>
      <c r="G254" s="136" t="str">
        <f>VLOOKUP(A254,Plano_V3!$A$26:$G$592,7,0)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2" t="s">
        <v>29</v>
      </c>
    </row>
    <row r="255" spans="1:15" ht="16.2" hidden="1" customHeight="1">
      <c r="A255" s="30" t="str">
        <f t="shared" si="4"/>
        <v>modesg_inp_nfrd_alinhamento_taxnome_entidade</v>
      </c>
      <c r="B255" s="142" t="s">
        <v>26</v>
      </c>
      <c r="C255" s="138" t="s">
        <v>181</v>
      </c>
      <c r="D255" s="134" t="s">
        <v>40</v>
      </c>
      <c r="E255" s="135" t="s">
        <v>216</v>
      </c>
      <c r="F255" s="134" t="s">
        <v>242</v>
      </c>
      <c r="G255" s="136" t="str">
        <f>VLOOKUP(A255,Plano_V3!$A$26:$G$592,7,0)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2" t="s">
        <v>29</v>
      </c>
    </row>
    <row r="256" spans="1:15" ht="16.2" hidden="1" customHeight="1">
      <c r="A256" s="30" t="str">
        <f t="shared" si="4"/>
        <v>modesg_inp_nfrd_alinhamento_taxnome_pais</v>
      </c>
      <c r="B256" s="142" t="s">
        <v>26</v>
      </c>
      <c r="C256" s="138" t="s">
        <v>181</v>
      </c>
      <c r="D256" s="134" t="s">
        <v>40</v>
      </c>
      <c r="E256" s="135" t="s">
        <v>216</v>
      </c>
      <c r="F256" s="134" t="s">
        <v>222</v>
      </c>
      <c r="G256" s="136" t="str">
        <f>VLOOKUP(A256,Plano_V3!$A$26:$G$592,7,0)</f>
        <v>1. Concluído</v>
      </c>
      <c r="H256" s="136" t="s">
        <v>613</v>
      </c>
      <c r="I256" s="144" t="s">
        <v>653</v>
      </c>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2" t="s">
        <v>29</v>
      </c>
    </row>
    <row r="257" spans="1:15" ht="16.2" hidden="1" customHeight="1">
      <c r="A257" s="30" t="str">
        <f t="shared" si="4"/>
        <v>modesg_inp_nfrd_alinhamento_taxflg_nfrd</v>
      </c>
      <c r="B257" s="142" t="s">
        <v>26</v>
      </c>
      <c r="C257" s="138" t="s">
        <v>181</v>
      </c>
      <c r="D257" s="134" t="s">
        <v>40</v>
      </c>
      <c r="E257" s="135" t="s">
        <v>216</v>
      </c>
      <c r="F257" s="134" t="s">
        <v>245</v>
      </c>
      <c r="G257" s="136" t="str">
        <f>VLOOKUP(A257,Plano_V3!$A$26:$G$592,7,0)</f>
        <v>1. Concluído</v>
      </c>
      <c r="H257" s="136" t="s">
        <v>613</v>
      </c>
      <c r="I257" s="143"/>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2" t="s">
        <v>29</v>
      </c>
    </row>
    <row r="258" spans="1:15" ht="16.2" hidden="1" customHeight="1">
      <c r="A258" s="30" t="str">
        <f t="shared" si="4"/>
        <v>modesg_inp_nfrd_alinhamento_taxcca_trnvr_ttl_elgbl</v>
      </c>
      <c r="B258" s="142" t="s">
        <v>26</v>
      </c>
      <c r="C258" s="138" t="s">
        <v>181</v>
      </c>
      <c r="D258" s="134" t="s">
        <v>40</v>
      </c>
      <c r="E258" s="135" t="s">
        <v>216</v>
      </c>
      <c r="F258" s="134" t="s">
        <v>246</v>
      </c>
      <c r="G258" s="136" t="str">
        <f>VLOOKUP(A258,Plano_V3!$A$26:$G$592,7,0)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2" t="s">
        <v>29</v>
      </c>
    </row>
    <row r="259" spans="1:15" ht="16.2" hidden="1" customHeight="1">
      <c r="A259" s="30" t="str">
        <f t="shared" si="4"/>
        <v>modesg_inp_nfrd_alinhamento_taxcca_trnvr_enblng_alignd</v>
      </c>
      <c r="B259" s="142" t="s">
        <v>26</v>
      </c>
      <c r="C259" s="138" t="s">
        <v>181</v>
      </c>
      <c r="D259" s="134" t="s">
        <v>40</v>
      </c>
      <c r="E259" s="135" t="s">
        <v>216</v>
      </c>
      <c r="F259" s="134" t="s">
        <v>247</v>
      </c>
      <c r="G259" s="136" t="str">
        <f>VLOOKUP(A259,Plano_V3!$A$26:$G$592,7,0)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2" t="s">
        <v>29</v>
      </c>
    </row>
    <row r="260" spans="1:15" ht="16.2" hidden="1" customHeight="1">
      <c r="A260" s="30" t="str">
        <f t="shared" si="4"/>
        <v>modesg_inp_nfrd_alinhamento_taxcca_turnover_own_prfrmnce_algnd</v>
      </c>
      <c r="B260" s="142" t="s">
        <v>26</v>
      </c>
      <c r="C260" s="138" t="s">
        <v>181</v>
      </c>
      <c r="D260" s="134" t="s">
        <v>40</v>
      </c>
      <c r="E260" s="135" t="s">
        <v>216</v>
      </c>
      <c r="F260" s="134" t="s">
        <v>248</v>
      </c>
      <c r="G260" s="136" t="str">
        <f>VLOOKUP(A260,Plano_V3!$A$26:$G$592,7,0)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2" t="s">
        <v>29</v>
      </c>
    </row>
    <row r="261" spans="1:15" ht="16.2" hidden="1" customHeight="1">
      <c r="A261" s="30" t="str">
        <f t="shared" si="4"/>
        <v>modesg_inp_nfrd_alinhamento_taxcca_capex_ttl_elgbl</v>
      </c>
      <c r="B261" s="142" t="s">
        <v>26</v>
      </c>
      <c r="C261" s="138" t="s">
        <v>181</v>
      </c>
      <c r="D261" s="134" t="s">
        <v>40</v>
      </c>
      <c r="E261" s="135" t="s">
        <v>216</v>
      </c>
      <c r="F261" s="134" t="s">
        <v>249</v>
      </c>
      <c r="G261" s="136" t="str">
        <f>VLOOKUP(A261,Plano_V3!$A$26:$G$592,7,0)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2" t="s">
        <v>29</v>
      </c>
    </row>
    <row r="262" spans="1:15" ht="16.2" hidden="1" customHeight="1">
      <c r="A262" s="30" t="str">
        <f t="shared" si="4"/>
        <v>modesg_inp_nfrd_alinhamento_taxcca_capex_enblng_algnd</v>
      </c>
      <c r="B262" s="142" t="s">
        <v>26</v>
      </c>
      <c r="C262" s="138" t="s">
        <v>181</v>
      </c>
      <c r="D262" s="134" t="s">
        <v>40</v>
      </c>
      <c r="E262" s="135" t="s">
        <v>216</v>
      </c>
      <c r="F262" s="134" t="s">
        <v>250</v>
      </c>
      <c r="G262" s="136" t="str">
        <f>VLOOKUP(A262,Plano_V3!$A$26:$G$592,7,0)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2" t="s">
        <v>29</v>
      </c>
    </row>
    <row r="263" spans="1:15" ht="16.2" hidden="1" customHeight="1">
      <c r="A263" s="30" t="str">
        <f t="shared" si="4"/>
        <v>modesg_inp_nfrd_alinhamento_taxcca_capex_own_prfrmnce_algnd</v>
      </c>
      <c r="B263" s="142" t="s">
        <v>26</v>
      </c>
      <c r="C263" s="138" t="s">
        <v>181</v>
      </c>
      <c r="D263" s="134" t="s">
        <v>40</v>
      </c>
      <c r="E263" s="135" t="s">
        <v>216</v>
      </c>
      <c r="F263" s="134" t="s">
        <v>251</v>
      </c>
      <c r="G263" s="136" t="str">
        <f>VLOOKUP(A263,Plano_V3!$A$26:$G$592,7,0)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2" t="s">
        <v>29</v>
      </c>
    </row>
    <row r="264" spans="1:15" ht="16.2" hidden="1" customHeight="1">
      <c r="A264" s="30" t="str">
        <f t="shared" si="4"/>
        <v>modesg_inp_nfrd_alinhamento_taxccm_trnvr_ttl_elgbl</v>
      </c>
      <c r="B264" s="142" t="s">
        <v>26</v>
      </c>
      <c r="C264" s="138" t="s">
        <v>181</v>
      </c>
      <c r="D264" s="134" t="s">
        <v>40</v>
      </c>
      <c r="E264" s="135" t="s">
        <v>216</v>
      </c>
      <c r="F264" s="134" t="s">
        <v>252</v>
      </c>
      <c r="G264" s="136" t="str">
        <f>VLOOKUP(A264,Plano_V3!$A$26:$G$592,7,0)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2" t="s">
        <v>29</v>
      </c>
    </row>
    <row r="265" spans="1:15" ht="16.2" hidden="1" customHeight="1">
      <c r="A265" s="30" t="str">
        <f t="shared" si="4"/>
        <v>modesg_inp_nfrd_alinhamento_taxccm_trnvr_enblng_algnd</v>
      </c>
      <c r="B265" s="142" t="s">
        <v>26</v>
      </c>
      <c r="C265" s="138" t="s">
        <v>181</v>
      </c>
      <c r="D265" s="134" t="s">
        <v>40</v>
      </c>
      <c r="E265" s="135" t="s">
        <v>216</v>
      </c>
      <c r="F265" s="134" t="s">
        <v>253</v>
      </c>
      <c r="G265" s="136" t="str">
        <f>VLOOKUP(A265,Plano_V3!$A$26:$G$592,7,0)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2" t="s">
        <v>29</v>
      </c>
    </row>
    <row r="266" spans="1:15" ht="16.2" hidden="1" customHeight="1">
      <c r="A266" s="30" t="str">
        <f t="shared" si="4"/>
        <v>modesg_inp_nfrd_alinhamento_taxccm_trnvr_trnstn_alignd</v>
      </c>
      <c r="B266" s="142" t="s">
        <v>26</v>
      </c>
      <c r="C266" s="138" t="s">
        <v>181</v>
      </c>
      <c r="D266" s="134" t="s">
        <v>40</v>
      </c>
      <c r="E266" s="135" t="s">
        <v>216</v>
      </c>
      <c r="F266" s="134" t="s">
        <v>254</v>
      </c>
      <c r="G266" s="136" t="str">
        <f>VLOOKUP(A266,Plano_V3!$A$26:$G$592,7,0)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2" t="s">
        <v>29</v>
      </c>
    </row>
    <row r="267" spans="1:15" ht="16.2" hidden="1" customHeight="1">
      <c r="A267" s="30" t="str">
        <f t="shared" si="4"/>
        <v>modesg_inp_nfrd_alinhamento_taxccm_trnvr_own_prfrmnce_algnd</v>
      </c>
      <c r="B267" s="142" t="s">
        <v>26</v>
      </c>
      <c r="C267" s="138" t="s">
        <v>181</v>
      </c>
      <c r="D267" s="134" t="s">
        <v>40</v>
      </c>
      <c r="E267" s="135" t="s">
        <v>216</v>
      </c>
      <c r="F267" s="134" t="s">
        <v>255</v>
      </c>
      <c r="G267" s="136" t="str">
        <f>VLOOKUP(A267,Plano_V3!$A$26:$G$592,7,0)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2" t="s">
        <v>29</v>
      </c>
    </row>
    <row r="268" spans="1:15" ht="16.2" hidden="1" customHeight="1">
      <c r="A268" s="30" t="str">
        <f t="shared" si="4"/>
        <v>modesg_inp_nfrd_alinhamento_taxccm_capex_ttl_elgbl</v>
      </c>
      <c r="B268" s="142" t="s">
        <v>26</v>
      </c>
      <c r="C268" s="138" t="s">
        <v>181</v>
      </c>
      <c r="D268" s="134" t="s">
        <v>40</v>
      </c>
      <c r="E268" s="135" t="s">
        <v>216</v>
      </c>
      <c r="F268" s="134" t="s">
        <v>256</v>
      </c>
      <c r="G268" s="136" t="str">
        <f>VLOOKUP(A268,Plano_V3!$A$26:$G$592,7,0)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2" t="s">
        <v>29</v>
      </c>
    </row>
    <row r="269" spans="1:15" ht="16.2" hidden="1" customHeight="1">
      <c r="A269" s="30" t="str">
        <f t="shared" si="4"/>
        <v>modesg_inp_nfrd_alinhamento_taxccm_capex_enblng_algnd</v>
      </c>
      <c r="B269" s="142" t="s">
        <v>26</v>
      </c>
      <c r="C269" s="138" t="s">
        <v>181</v>
      </c>
      <c r="D269" s="134" t="s">
        <v>40</v>
      </c>
      <c r="E269" s="135" t="s">
        <v>216</v>
      </c>
      <c r="F269" s="134" t="s">
        <v>257</v>
      </c>
      <c r="G269" s="136" t="str">
        <f>VLOOKUP(A269,Plano_V3!$A$26:$G$592,7,0)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2" t="s">
        <v>29</v>
      </c>
    </row>
    <row r="270" spans="1:15" ht="16.2" hidden="1" customHeight="1">
      <c r="A270" s="30" t="str">
        <f t="shared" si="4"/>
        <v>modesg_inp_nfrd_alinhamento_taxccm_capex_trnstn_algnd</v>
      </c>
      <c r="B270" s="142" t="s">
        <v>26</v>
      </c>
      <c r="C270" s="138" t="s">
        <v>181</v>
      </c>
      <c r="D270" s="134" t="s">
        <v>40</v>
      </c>
      <c r="E270" s="135" t="s">
        <v>216</v>
      </c>
      <c r="F270" s="134" t="s">
        <v>258</v>
      </c>
      <c r="G270" s="136" t="str">
        <f>VLOOKUP(A270,Plano_V3!$A$26:$G$592,7,0)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2" t="s">
        <v>29</v>
      </c>
    </row>
    <row r="271" spans="1:15" ht="16.2" hidden="1" customHeight="1">
      <c r="A271" s="30" t="str">
        <f t="shared" si="4"/>
        <v>modesg_inp_nfrd_alinhamento_taxccm_capex_own_prfrmnce_algnd</v>
      </c>
      <c r="B271" s="142" t="s">
        <v>26</v>
      </c>
      <c r="C271" s="138" t="s">
        <v>181</v>
      </c>
      <c r="D271" s="134" t="s">
        <v>40</v>
      </c>
      <c r="E271" s="135" t="s">
        <v>216</v>
      </c>
      <c r="F271" s="134" t="s">
        <v>259</v>
      </c>
      <c r="G271" s="136" t="str">
        <f>VLOOKUP(A271,Plano_V3!$A$26:$G$592,7,0)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2" t="s">
        <v>29</v>
      </c>
    </row>
    <row r="272" spans="1:15" ht="16.2" hidden="1" customHeight="1">
      <c r="A272" s="30" t="str">
        <f t="shared" si="4"/>
        <v>modesg_inp_nfrd_alinhamento_taxppc_trnvr_ttl_elgbl</v>
      </c>
      <c r="B272" s="142" t="s">
        <v>26</v>
      </c>
      <c r="C272" s="138" t="s">
        <v>181</v>
      </c>
      <c r="D272" s="134" t="s">
        <v>40</v>
      </c>
      <c r="E272" s="135" t="s">
        <v>216</v>
      </c>
      <c r="F272" s="134" t="s">
        <v>260</v>
      </c>
      <c r="G272" s="136" t="str">
        <f>VLOOKUP(A272,Plano_V3!$A$26:$G$592,7,0)</f>
        <v>1. Concluído</v>
      </c>
      <c r="H272" s="136" t="s">
        <v>613</v>
      </c>
      <c r="I272" s="144" t="s">
        <v>653</v>
      </c>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2" t="s">
        <v>29</v>
      </c>
    </row>
    <row r="273" spans="1:15" ht="16.2" hidden="1" customHeight="1">
      <c r="A273" s="30" t="str">
        <f t="shared" si="4"/>
        <v>modesg_inp_nfrd_alinhamento_taxppc_turnover_own_prfrmnce_algnd</v>
      </c>
      <c r="B273" s="142" t="s">
        <v>26</v>
      </c>
      <c r="C273" s="138" t="s">
        <v>181</v>
      </c>
      <c r="D273" s="134" t="s">
        <v>40</v>
      </c>
      <c r="E273" s="135" t="s">
        <v>216</v>
      </c>
      <c r="F273" s="134" t="s">
        <v>261</v>
      </c>
      <c r="G273" s="136" t="str">
        <f>VLOOKUP(A273,Plano_V3!$A$26:$G$592,7,0)</f>
        <v>1. Concluído</v>
      </c>
      <c r="H273" s="136" t="s">
        <v>613</v>
      </c>
      <c r="I273" s="144" t="s">
        <v>653</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2" t="s">
        <v>29</v>
      </c>
    </row>
    <row r="274" spans="1:15" ht="16.2" hidden="1" customHeight="1">
      <c r="A274" s="30" t="str">
        <f t="shared" si="4"/>
        <v>modesg_inp_nfrd_alinhamento_taxppc_capex_ttl_elgbl</v>
      </c>
      <c r="B274" s="142" t="s">
        <v>26</v>
      </c>
      <c r="C274" s="138" t="s">
        <v>181</v>
      </c>
      <c r="D274" s="134" t="s">
        <v>40</v>
      </c>
      <c r="E274" s="135" t="s">
        <v>216</v>
      </c>
      <c r="F274" s="134" t="s">
        <v>262</v>
      </c>
      <c r="G274" s="136" t="str">
        <f>VLOOKUP(A274,Plano_V3!$A$26:$G$592,7,0)</f>
        <v>1. Concluído</v>
      </c>
      <c r="H274" s="136" t="s">
        <v>613</v>
      </c>
      <c r="I274" s="144" t="s">
        <v>653</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2" t="s">
        <v>29</v>
      </c>
    </row>
    <row r="275" spans="1:15" ht="16.2" hidden="1" customHeight="1">
      <c r="A275" s="30" t="str">
        <f t="shared" ref="A275:A338" si="5">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613</v>
      </c>
      <c r="I275" s="144" t="s">
        <v>653</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2" t="s">
        <v>29</v>
      </c>
    </row>
    <row r="276" spans="1:15" ht="16.2" hidden="1" customHeight="1">
      <c r="A276" s="30" t="str">
        <f t="shared" si="5"/>
        <v>modesg_inp_nfrd_alinhamento_taxbio_trnvr_ttl_elgbl</v>
      </c>
      <c r="B276" s="142" t="s">
        <v>26</v>
      </c>
      <c r="C276" s="138" t="s">
        <v>181</v>
      </c>
      <c r="D276" s="134" t="s">
        <v>40</v>
      </c>
      <c r="E276" s="135" t="s">
        <v>216</v>
      </c>
      <c r="F276" s="134" t="s">
        <v>264</v>
      </c>
      <c r="G276" s="136" t="str">
        <f>VLOOKUP(A276,Plano_V3!$A$26:$G$592,7,0)</f>
        <v>1. Concluído</v>
      </c>
      <c r="H276" s="136" t="s">
        <v>613</v>
      </c>
      <c r="I276" s="144" t="s">
        <v>653</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2" t="s">
        <v>29</v>
      </c>
    </row>
    <row r="277" spans="1:15" ht="16.2" hidden="1" customHeight="1">
      <c r="A277" s="30" t="str">
        <f t="shared" si="5"/>
        <v>modesg_inp_nfrd_alinhamento_taxbio_turnover_own_prfrmnce_algnd</v>
      </c>
      <c r="B277" s="142" t="s">
        <v>26</v>
      </c>
      <c r="C277" s="138" t="s">
        <v>181</v>
      </c>
      <c r="D277" s="134" t="s">
        <v>40</v>
      </c>
      <c r="E277" s="135" t="s">
        <v>216</v>
      </c>
      <c r="F277" s="134" t="s">
        <v>265</v>
      </c>
      <c r="G277" s="136" t="str">
        <f>VLOOKUP(A277,Plano_V3!$A$26:$G$592,7,0)</f>
        <v>1. Concluído</v>
      </c>
      <c r="H277" s="136" t="s">
        <v>613</v>
      </c>
      <c r="I277" s="144" t="s">
        <v>653</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2" t="s">
        <v>29</v>
      </c>
    </row>
    <row r="278" spans="1:15" ht="16.2" hidden="1" customHeight="1">
      <c r="A278" s="30" t="str">
        <f t="shared" si="5"/>
        <v>modesg_inp_nfrd_alinhamento_taxbio_capex_ttl_elgbl</v>
      </c>
      <c r="B278" s="142" t="s">
        <v>26</v>
      </c>
      <c r="C278" s="138" t="s">
        <v>181</v>
      </c>
      <c r="D278" s="134" t="s">
        <v>40</v>
      </c>
      <c r="E278" s="135" t="s">
        <v>216</v>
      </c>
      <c r="F278" s="134" t="s">
        <v>266</v>
      </c>
      <c r="G278" s="136" t="str">
        <f>VLOOKUP(A278,Plano_V3!$A$26:$G$592,7,0)</f>
        <v>1. Concluído</v>
      </c>
      <c r="H278" s="136" t="s">
        <v>613</v>
      </c>
      <c r="I278" s="144" t="s">
        <v>653</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2" t="s">
        <v>29</v>
      </c>
    </row>
    <row r="279" spans="1:15" ht="16.2" hidden="1" customHeight="1">
      <c r="A279" s="30" t="str">
        <f t="shared" si="5"/>
        <v>modesg_inp_nfrd_alinhamento_taxbio_capex_own_prfrmnce_algnd</v>
      </c>
      <c r="B279" s="142" t="s">
        <v>26</v>
      </c>
      <c r="C279" s="138" t="s">
        <v>181</v>
      </c>
      <c r="D279" s="134" t="s">
        <v>40</v>
      </c>
      <c r="E279" s="135" t="s">
        <v>216</v>
      </c>
      <c r="F279" s="134" t="s">
        <v>267</v>
      </c>
      <c r="G279" s="136" t="str">
        <f>VLOOKUP(A279,Plano_V3!$A$26:$G$592,7,0)</f>
        <v>1. Concluído</v>
      </c>
      <c r="H279" s="136" t="s">
        <v>613</v>
      </c>
      <c r="I279" s="144" t="s">
        <v>653</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2" t="s">
        <v>29</v>
      </c>
    </row>
    <row r="280" spans="1:15" ht="16.2" hidden="1" customHeight="1">
      <c r="A280" s="30" t="str">
        <f t="shared" si="5"/>
        <v>modesg_inp_nfrd_alinhamento_taxwtr_trnvr_ttl_elgbl</v>
      </c>
      <c r="B280" s="142" t="s">
        <v>26</v>
      </c>
      <c r="C280" s="138" t="s">
        <v>181</v>
      </c>
      <c r="D280" s="134" t="s">
        <v>40</v>
      </c>
      <c r="E280" s="135" t="s">
        <v>216</v>
      </c>
      <c r="F280" s="134" t="s">
        <v>268</v>
      </c>
      <c r="G280" s="136" t="str">
        <f>VLOOKUP(A280,Plano_V3!$A$26:$G$592,7,0)</f>
        <v>1. Concluído</v>
      </c>
      <c r="H280" s="136" t="s">
        <v>613</v>
      </c>
      <c r="I280" s="144" t="s">
        <v>653</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2" t="s">
        <v>29</v>
      </c>
    </row>
    <row r="281" spans="1:15" ht="16.2" hidden="1" customHeight="1">
      <c r="A281" s="30" t="str">
        <f t="shared" si="5"/>
        <v>modesg_inp_nfrd_alinhamento_taxwtr_trnvr_enblng_alignd</v>
      </c>
      <c r="B281" s="142" t="s">
        <v>26</v>
      </c>
      <c r="C281" s="138" t="s">
        <v>181</v>
      </c>
      <c r="D281" s="134" t="s">
        <v>40</v>
      </c>
      <c r="E281" s="135" t="s">
        <v>216</v>
      </c>
      <c r="F281" s="134" t="s">
        <v>269</v>
      </c>
      <c r="G281" s="136" t="str">
        <f>VLOOKUP(A281,Plano_V3!$A$26:$G$592,7,0)</f>
        <v>1. Concluído</v>
      </c>
      <c r="H281" s="136" t="s">
        <v>613</v>
      </c>
      <c r="I281" s="144" t="s">
        <v>653</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2" t="s">
        <v>29</v>
      </c>
    </row>
    <row r="282" spans="1:15" ht="16.2" hidden="1" customHeight="1">
      <c r="A282" s="30" t="str">
        <f t="shared" si="5"/>
        <v>modesg_inp_nfrd_alinhamento_taxwtr_turnover_own_prfrmnce_algnd</v>
      </c>
      <c r="B282" s="142" t="s">
        <v>26</v>
      </c>
      <c r="C282" s="138" t="s">
        <v>181</v>
      </c>
      <c r="D282" s="134" t="s">
        <v>40</v>
      </c>
      <c r="E282" s="135" t="s">
        <v>216</v>
      </c>
      <c r="F282" s="134" t="s">
        <v>270</v>
      </c>
      <c r="G282" s="136" t="str">
        <f>VLOOKUP(A282,Plano_V3!$A$26:$G$592,7,0)</f>
        <v>1. Concluído</v>
      </c>
      <c r="H282" s="136" t="s">
        <v>613</v>
      </c>
      <c r="I282" s="144" t="s">
        <v>653</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2" t="s">
        <v>29</v>
      </c>
    </row>
    <row r="283" spans="1:15" ht="16.2" hidden="1" customHeight="1">
      <c r="A283" s="30" t="str">
        <f t="shared" si="5"/>
        <v>modesg_inp_nfrd_alinhamento_taxwtr_capex_ttl_elgbl</v>
      </c>
      <c r="B283" s="142" t="s">
        <v>26</v>
      </c>
      <c r="C283" s="138" t="s">
        <v>181</v>
      </c>
      <c r="D283" s="134" t="s">
        <v>40</v>
      </c>
      <c r="E283" s="135" t="s">
        <v>216</v>
      </c>
      <c r="F283" s="134" t="s">
        <v>271</v>
      </c>
      <c r="G283" s="136" t="str">
        <f>VLOOKUP(A283,Plano_V3!$A$26:$G$592,7,0)</f>
        <v>1. Concluído</v>
      </c>
      <c r="H283" s="136" t="s">
        <v>613</v>
      </c>
      <c r="I283" s="144" t="s">
        <v>653</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2" t="s">
        <v>29</v>
      </c>
    </row>
    <row r="284" spans="1:15" ht="16.2" hidden="1" customHeight="1">
      <c r="A284" s="30" t="str">
        <f t="shared" si="5"/>
        <v>modesg_inp_nfrd_alinhamento_taxwtr_capex_enblng_algnd</v>
      </c>
      <c r="B284" s="142" t="s">
        <v>26</v>
      </c>
      <c r="C284" s="138" t="s">
        <v>181</v>
      </c>
      <c r="D284" s="134" t="s">
        <v>40</v>
      </c>
      <c r="E284" s="135" t="s">
        <v>216</v>
      </c>
      <c r="F284" s="134" t="s">
        <v>272</v>
      </c>
      <c r="G284" s="136" t="str">
        <f>VLOOKUP(A284,Plano_V3!$A$26:$G$592,7,0)</f>
        <v>1. Concluído</v>
      </c>
      <c r="H284" s="136" t="s">
        <v>613</v>
      </c>
      <c r="I284" s="144" t="s">
        <v>653</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2" t="s">
        <v>29</v>
      </c>
    </row>
    <row r="285" spans="1:15" ht="16.2" hidden="1" customHeight="1">
      <c r="A285" s="30" t="str">
        <f t="shared" si="5"/>
        <v>modesg_inp_nfrd_alinhamento_taxwtr_capex_own_prfrmnce_algnd</v>
      </c>
      <c r="B285" s="142" t="s">
        <v>26</v>
      </c>
      <c r="C285" s="138" t="s">
        <v>181</v>
      </c>
      <c r="D285" s="134" t="s">
        <v>40</v>
      </c>
      <c r="E285" s="135" t="s">
        <v>216</v>
      </c>
      <c r="F285" s="134" t="s">
        <v>273</v>
      </c>
      <c r="G285" s="136" t="str">
        <f>VLOOKUP(A285,Plano_V3!$A$26:$G$592,7,0)</f>
        <v>1. Concluído</v>
      </c>
      <c r="H285" s="136" t="s">
        <v>613</v>
      </c>
      <c r="I285" s="144" t="s">
        <v>653</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2" t="s">
        <v>29</v>
      </c>
    </row>
    <row r="286" spans="1:15" ht="16.2" hidden="1" customHeight="1">
      <c r="A286" s="30" t="str">
        <f t="shared" si="5"/>
        <v>modesg_inp_nfrd_alinhamento_taxce_trnvr_ttl_elgbl</v>
      </c>
      <c r="B286" s="142" t="s">
        <v>26</v>
      </c>
      <c r="C286" s="138" t="s">
        <v>181</v>
      </c>
      <c r="D286" s="134" t="s">
        <v>40</v>
      </c>
      <c r="E286" s="135" t="s">
        <v>216</v>
      </c>
      <c r="F286" s="134" t="s">
        <v>274</v>
      </c>
      <c r="G286" s="136" t="str">
        <f>VLOOKUP(A286,Plano_V3!$A$26:$G$592,7,0)</f>
        <v>1. Concluído</v>
      </c>
      <c r="H286" s="136" t="s">
        <v>613</v>
      </c>
      <c r="I286" s="144" t="s">
        <v>653</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2" t="s">
        <v>29</v>
      </c>
    </row>
    <row r="287" spans="1:15" ht="16.2" hidden="1" customHeight="1">
      <c r="A287" s="30" t="str">
        <f t="shared" si="5"/>
        <v>modesg_inp_nfrd_alinhamento_taxce_trnvr_enblng_alignd</v>
      </c>
      <c r="B287" s="142" t="s">
        <v>26</v>
      </c>
      <c r="C287" s="138" t="s">
        <v>181</v>
      </c>
      <c r="D287" s="134" t="s">
        <v>40</v>
      </c>
      <c r="E287" s="135" t="s">
        <v>216</v>
      </c>
      <c r="F287" s="134" t="s">
        <v>275</v>
      </c>
      <c r="G287" s="136" t="str">
        <f>VLOOKUP(A287,Plano_V3!$A$26:$G$592,7,0)</f>
        <v>1. Concluído</v>
      </c>
      <c r="H287" s="136" t="s">
        <v>613</v>
      </c>
      <c r="I287" s="144" t="s">
        <v>653</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2" t="s">
        <v>29</v>
      </c>
    </row>
    <row r="288" spans="1:15" ht="16.2" hidden="1" customHeight="1">
      <c r="A288" s="30" t="str">
        <f t="shared" si="5"/>
        <v>modesg_inp_nfrd_alinhamento_taxce_turnover_own_prfrmnce_algnd</v>
      </c>
      <c r="B288" s="142" t="s">
        <v>26</v>
      </c>
      <c r="C288" s="138" t="s">
        <v>181</v>
      </c>
      <c r="D288" s="134" t="s">
        <v>40</v>
      </c>
      <c r="E288" s="135" t="s">
        <v>216</v>
      </c>
      <c r="F288" s="134" t="s">
        <v>276</v>
      </c>
      <c r="G288" s="136" t="str">
        <f>VLOOKUP(A288,Plano_V3!$A$26:$G$592,7,0)</f>
        <v>1. Concluído</v>
      </c>
      <c r="H288" s="136" t="s">
        <v>613</v>
      </c>
      <c r="I288" s="144" t="s">
        <v>653</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2" t="s">
        <v>29</v>
      </c>
    </row>
    <row r="289" spans="1:15" ht="16.2" hidden="1" customHeight="1">
      <c r="A289" s="30" t="str">
        <f t="shared" si="5"/>
        <v>modesg_inp_nfrd_alinhamento_taxce_capex_ttl_elgbl</v>
      </c>
      <c r="B289" s="142" t="s">
        <v>26</v>
      </c>
      <c r="C289" s="138" t="s">
        <v>181</v>
      </c>
      <c r="D289" s="134" t="s">
        <v>40</v>
      </c>
      <c r="E289" s="135" t="s">
        <v>216</v>
      </c>
      <c r="F289" s="134" t="s">
        <v>277</v>
      </c>
      <c r="G289" s="136" t="str">
        <f>VLOOKUP(A289,Plano_V3!$A$26:$G$592,7,0)</f>
        <v>1. Concluído</v>
      </c>
      <c r="H289" s="136" t="s">
        <v>613</v>
      </c>
      <c r="I289" s="144" t="s">
        <v>653</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2" t="s">
        <v>29</v>
      </c>
    </row>
    <row r="290" spans="1:15" ht="16.2" hidden="1" customHeight="1">
      <c r="A290" s="30" t="str">
        <f t="shared" si="5"/>
        <v>modesg_inp_nfrd_alinhamento_taxce_capex_enblng_algnd</v>
      </c>
      <c r="B290" s="142" t="s">
        <v>26</v>
      </c>
      <c r="C290" s="138" t="s">
        <v>181</v>
      </c>
      <c r="D290" s="134" t="s">
        <v>40</v>
      </c>
      <c r="E290" s="135" t="s">
        <v>216</v>
      </c>
      <c r="F290" s="134" t="s">
        <v>278</v>
      </c>
      <c r="G290" s="136" t="str">
        <f>VLOOKUP(A290,Plano_V3!$A$26:$G$592,7,0)</f>
        <v>1. Concluído</v>
      </c>
      <c r="H290" s="136" t="s">
        <v>613</v>
      </c>
      <c r="I290" s="144" t="s">
        <v>653</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2" t="s">
        <v>29</v>
      </c>
    </row>
    <row r="291" spans="1:15" ht="16.2" hidden="1" customHeight="1">
      <c r="A291" s="30" t="str">
        <f t="shared" si="5"/>
        <v>modesg_inp_nfrd_alinhamento_taxce_capex_own_prfrmnce_algnd</v>
      </c>
      <c r="B291" s="142" t="s">
        <v>26</v>
      </c>
      <c r="C291" s="138" t="s">
        <v>181</v>
      </c>
      <c r="D291" s="134" t="s">
        <v>40</v>
      </c>
      <c r="E291" s="135" t="s">
        <v>216</v>
      </c>
      <c r="F291" s="134" t="s">
        <v>279</v>
      </c>
      <c r="G291" s="136" t="str">
        <f>VLOOKUP(A291,Plano_V3!$A$26:$G$592,7,0)</f>
        <v>1. Concluído</v>
      </c>
      <c r="H291" s="136" t="s">
        <v>613</v>
      </c>
      <c r="I291" s="144" t="s">
        <v>653</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2" t="s">
        <v>29</v>
      </c>
    </row>
    <row r="292" spans="1:15" ht="16.2" hidden="1" customHeight="1">
      <c r="A292" s="30" t="str">
        <f t="shared" si="5"/>
        <v>modesg_inp_risco_fisicoref_date</v>
      </c>
      <c r="B292" s="142" t="s">
        <v>26</v>
      </c>
      <c r="C292" s="138" t="s">
        <v>181</v>
      </c>
      <c r="D292" s="134" t="s">
        <v>40</v>
      </c>
      <c r="E292" s="135" t="s">
        <v>217</v>
      </c>
      <c r="F292" s="134" t="s">
        <v>208</v>
      </c>
      <c r="G292" s="136" t="str">
        <f>VLOOKUP(A292,Plano_V3!$A$26:$G$592,7,0)</f>
        <v>1. Concluído</v>
      </c>
      <c r="H292" s="136" t="s">
        <v>613</v>
      </c>
      <c r="I292" s="154"/>
      <c r="J292" s="153" t="str">
        <f>IF(VLOOKUP(A292,'Aux - pivots1'!$A:$E,3,0)=0, "",VLOOKUP(A292,'Aux - pivots1'!$A:$E,3,0))</f>
        <v/>
      </c>
      <c r="K292" s="153">
        <f>IF(VLOOKUP(A292,'Aux - pivots1'!$A:$E,4,0)=0, "",VLOOKUP(A292,'Aux - pivots1'!$A:$E,4,0))</f>
        <v>45603</v>
      </c>
      <c r="L292" s="153" t="str">
        <f>IF(VLOOKUP(A292,'Aux - pivots1'!$A:$E,5,0)=0, "",VLOOKUP(A292,'Aux - pivots1'!$A:$E,5,0))</f>
        <v/>
      </c>
      <c r="M292" s="208"/>
      <c r="N292" s="208"/>
      <c r="O292" s="342" t="s">
        <v>29</v>
      </c>
    </row>
    <row r="293" spans="1:15" ht="16.2" hidden="1" customHeight="1">
      <c r="A293" s="30" t="str">
        <f t="shared" si="5"/>
        <v>modesg_inp_risco_fisicocod_pais</v>
      </c>
      <c r="B293" s="142" t="s">
        <v>26</v>
      </c>
      <c r="C293" s="138" t="s">
        <v>181</v>
      </c>
      <c r="D293" s="134" t="s">
        <v>40</v>
      </c>
      <c r="E293" s="135" t="s">
        <v>217</v>
      </c>
      <c r="F293" s="134" t="s">
        <v>280</v>
      </c>
      <c r="G293" s="136" t="str">
        <f>VLOOKUP(A293,Plano_V3!$A$26:$G$592,7,0)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2" t="s">
        <v>29</v>
      </c>
    </row>
    <row r="294" spans="1:15" ht="16.2" hidden="1" customHeight="1">
      <c r="A294" s="30" t="str">
        <f t="shared" si="5"/>
        <v>modesg_inp_risco_fisicocod_nutiii</v>
      </c>
      <c r="B294" s="142" t="s">
        <v>26</v>
      </c>
      <c r="C294" s="138" t="s">
        <v>181</v>
      </c>
      <c r="D294" s="134" t="s">
        <v>40</v>
      </c>
      <c r="E294" s="135" t="s">
        <v>217</v>
      </c>
      <c r="F294" s="134" t="s">
        <v>281</v>
      </c>
      <c r="G294" s="136" t="str">
        <f>VLOOKUP(A294,Plano_V3!$A$26:$G$592,7,0)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2" t="s">
        <v>29</v>
      </c>
    </row>
    <row r="295" spans="1:15" ht="16.2" hidden="1" customHeight="1">
      <c r="A295" s="30" t="str">
        <f t="shared" si="5"/>
        <v>modesg_inp_risco_fisicocod_nace_esg</v>
      </c>
      <c r="B295" s="142" t="s">
        <v>26</v>
      </c>
      <c r="C295" s="138" t="s">
        <v>181</v>
      </c>
      <c r="D295" s="134" t="s">
        <v>40</v>
      </c>
      <c r="E295" s="135" t="s">
        <v>217</v>
      </c>
      <c r="F295" s="134" t="s">
        <v>282</v>
      </c>
      <c r="G295" s="136" t="str">
        <f>VLOOKUP(A295,Plano_V3!$A$26:$G$592,7,0)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2" t="s">
        <v>29</v>
      </c>
    </row>
    <row r="296" spans="1:15" ht="16.2" hidden="1" customHeight="1">
      <c r="A296" s="30" t="str">
        <f t="shared" si="5"/>
        <v>modesg_inp_risco_fisicoflg_rsc_fsc_agd</v>
      </c>
      <c r="B296" s="142" t="s">
        <v>26</v>
      </c>
      <c r="C296" s="138" t="s">
        <v>181</v>
      </c>
      <c r="D296" s="134" t="s">
        <v>40</v>
      </c>
      <c r="E296" s="135" t="s">
        <v>217</v>
      </c>
      <c r="F296" s="134" t="s">
        <v>283</v>
      </c>
      <c r="G296" s="136" t="str">
        <f>VLOOKUP(A296,Plano_V3!$A$26:$G$592,7,0)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2" t="s">
        <v>29</v>
      </c>
    </row>
    <row r="297" spans="1:15" ht="16.2" hidden="1" customHeight="1">
      <c r="A297" s="30" t="str">
        <f t="shared" si="5"/>
        <v>modesg_inp_risco_fisicoflg_rsc_fsc_crnc</v>
      </c>
      <c r="B297" s="142" t="s">
        <v>26</v>
      </c>
      <c r="C297" s="138" t="s">
        <v>181</v>
      </c>
      <c r="D297" s="134" t="s">
        <v>40</v>
      </c>
      <c r="E297" s="135" t="s">
        <v>217</v>
      </c>
      <c r="F297" s="134" t="s">
        <v>284</v>
      </c>
      <c r="G297" s="136" t="str">
        <f>VLOOKUP(A297,Plano_V3!$A$26:$G$592,7,0)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2" t="s">
        <v>29</v>
      </c>
    </row>
    <row r="298" spans="1:15" ht="16.2" hidden="1" customHeight="1">
      <c r="A298" s="30" t="str">
        <f t="shared" si="5"/>
        <v>modesg_inp_emss_scibref_date</v>
      </c>
      <c r="B298" s="142" t="s">
        <v>26</v>
      </c>
      <c r="C298" s="138" t="s">
        <v>181</v>
      </c>
      <c r="D298" s="134" t="s">
        <v>40</v>
      </c>
      <c r="E298" s="135" t="s">
        <v>218</v>
      </c>
      <c r="F298" s="134" t="s">
        <v>208</v>
      </c>
      <c r="G298" s="136" t="str">
        <f>VLOOKUP(A298,Plano_V3!$A$26:$G$592,7,0)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2" t="s">
        <v>29</v>
      </c>
    </row>
    <row r="299" spans="1:15" ht="16.2" hidden="1" customHeight="1">
      <c r="A299" s="30" t="str">
        <f t="shared" si="5"/>
        <v>modesg_inp_emss_scibccli_kgl</v>
      </c>
      <c r="B299" s="142" t="s">
        <v>26</v>
      </c>
      <c r="C299" s="138" t="s">
        <v>181</v>
      </c>
      <c r="D299" s="134" t="s">
        <v>40</v>
      </c>
      <c r="E299" s="135" t="s">
        <v>218</v>
      </c>
      <c r="F299" s="134" t="s">
        <v>241</v>
      </c>
      <c r="G299" s="136" t="str">
        <f>VLOOKUP(A299,Plano_V3!$A$26:$G$592,7,0)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2" t="s">
        <v>29</v>
      </c>
    </row>
    <row r="300" spans="1:15" ht="16.2" hidden="1" customHeight="1">
      <c r="A300" s="30" t="str">
        <f t="shared" si="5"/>
        <v>modesg_inp_emss_scibnome_grupo</v>
      </c>
      <c r="B300" s="142" t="s">
        <v>26</v>
      </c>
      <c r="C300" s="138" t="s">
        <v>181</v>
      </c>
      <c r="D300" s="134" t="s">
        <v>40</v>
      </c>
      <c r="E300" s="135" t="s">
        <v>218</v>
      </c>
      <c r="F300" s="134" t="s">
        <v>285</v>
      </c>
      <c r="G300" s="136" t="str">
        <f>VLOOKUP(A300,Plano_V3!$A$26:$G$592,7,0)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2" t="s">
        <v>29</v>
      </c>
    </row>
    <row r="301" spans="1:15" ht="16.2" hidden="1" customHeight="1">
      <c r="A301" s="30" t="str">
        <f t="shared" si="5"/>
        <v>modesg_inp_emss_scibisin</v>
      </c>
      <c r="B301" s="142" t="s">
        <v>26</v>
      </c>
      <c r="C301" s="138" t="s">
        <v>181</v>
      </c>
      <c r="D301" s="134" t="s">
        <v>40</v>
      </c>
      <c r="E301" s="135" t="s">
        <v>218</v>
      </c>
      <c r="F301" s="134" t="s">
        <v>239</v>
      </c>
      <c r="G301" s="136" t="str">
        <f>VLOOKUP(A301,Plano_V3!$A$26:$G$592,7,0)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2" t="s">
        <v>29</v>
      </c>
    </row>
    <row r="302" spans="1:15" ht="16.2" hidden="1" customHeight="1">
      <c r="A302" s="30" t="str">
        <f t="shared" si="5"/>
        <v>modesg_inp_emss_scibclei</v>
      </c>
      <c r="B302" s="142" t="s">
        <v>26</v>
      </c>
      <c r="C302" s="138" t="s">
        <v>181</v>
      </c>
      <c r="D302" s="134" t="s">
        <v>40</v>
      </c>
      <c r="E302" s="135" t="s">
        <v>218</v>
      </c>
      <c r="F302" s="134" t="s">
        <v>240</v>
      </c>
      <c r="G302" s="136" t="str">
        <f>VLOOKUP(A302,Plano_V3!$A$26:$G$592,7,0)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2" t="s">
        <v>29</v>
      </c>
    </row>
    <row r="303" spans="1:15" ht="16.2" hidden="1" customHeight="1">
      <c r="A303" s="30" t="str">
        <f t="shared" si="5"/>
        <v>modesg_inp_emss_scibscp1_emss</v>
      </c>
      <c r="B303" s="142" t="s">
        <v>26</v>
      </c>
      <c r="C303" s="138" t="s">
        <v>181</v>
      </c>
      <c r="D303" s="134" t="s">
        <v>40</v>
      </c>
      <c r="E303" s="135" t="s">
        <v>218</v>
      </c>
      <c r="F303" s="134" t="s">
        <v>286</v>
      </c>
      <c r="G303" s="136" t="str">
        <f>VLOOKUP(A303,Plano_V3!$A$26:$G$592,7,0)</f>
        <v>1. Concluído</v>
      </c>
      <c r="H303" s="136" t="s">
        <v>613</v>
      </c>
      <c r="I303" s="143" t="s">
        <v>654</v>
      </c>
      <c r="J303" s="153">
        <f>IF(VLOOKUP(A303,'Aux - pivots1'!$A:$E,3,0)=0, "",VLOOKUP(A303,'Aux - pivots1'!$A:$E,3,0))</f>
        <v>45491</v>
      </c>
      <c r="K303" s="153">
        <f>IF(VLOOKUP(A303,'Aux - pivots1'!$A:$E,4,0)=0, "",VLOOKUP(A303,'Aux - pivots1'!$A:$E,4,0))</f>
        <v>45603</v>
      </c>
      <c r="L303" s="153">
        <f>IF(VLOOKUP(A303,'Aux - pivots1'!$A:$E,5,0)=0, "",VLOOKUP(A303,'Aux - pivots1'!$A:$E,5,0))</f>
        <v>45499</v>
      </c>
      <c r="M303" s="208"/>
      <c r="N303" s="208"/>
      <c r="O303" s="342" t="s">
        <v>29</v>
      </c>
    </row>
    <row r="304" spans="1:15" ht="16.2" hidden="1" customHeight="1">
      <c r="A304" s="30" t="str">
        <f t="shared" si="5"/>
        <v>modesg_inp_emss_scibscp2_emss</v>
      </c>
      <c r="B304" s="142" t="s">
        <v>26</v>
      </c>
      <c r="C304" s="138" t="s">
        <v>181</v>
      </c>
      <c r="D304" s="134" t="s">
        <v>40</v>
      </c>
      <c r="E304" s="135" t="s">
        <v>218</v>
      </c>
      <c r="F304" s="134" t="s">
        <v>287</v>
      </c>
      <c r="G304" s="136" t="str">
        <f>VLOOKUP(A304,Plano_V3!$A$26:$G$592,7,0)</f>
        <v>1. Concluído</v>
      </c>
      <c r="H304" s="136" t="s">
        <v>613</v>
      </c>
      <c r="I304" s="143" t="s">
        <v>654</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2" t="s">
        <v>29</v>
      </c>
    </row>
    <row r="305" spans="1:15" ht="16.2" hidden="1" customHeight="1">
      <c r="A305" s="30" t="str">
        <f t="shared" si="5"/>
        <v>modesg_inp_emss_scibscp3_emss</v>
      </c>
      <c r="B305" s="142" t="s">
        <v>26</v>
      </c>
      <c r="C305" s="138" t="s">
        <v>181</v>
      </c>
      <c r="D305" s="134" t="s">
        <v>40</v>
      </c>
      <c r="E305" s="135" t="s">
        <v>218</v>
      </c>
      <c r="F305" s="134" t="s">
        <v>288</v>
      </c>
      <c r="G305" s="136" t="str">
        <f>VLOOKUP(A305,Plano_V3!$A$26:$G$592,7,0)</f>
        <v>1. Concluído</v>
      </c>
      <c r="H305" s="136" t="s">
        <v>613</v>
      </c>
      <c r="I305" s="154"/>
      <c r="J305" s="153" t="str">
        <f>IF(VLOOKUP(A305,'Aux - pivots1'!$A:$E,3,0)=0, "",VLOOKUP(A305,'Aux - pivots1'!$A:$E,3,0))</f>
        <v/>
      </c>
      <c r="K305" s="153">
        <f>IF(VLOOKUP(A305,'Aux - pivots1'!$A:$E,4,0)=0, "",VLOOKUP(A305,'Aux - pivots1'!$A:$E,4,0))</f>
        <v>45603</v>
      </c>
      <c r="L305" s="153" t="str">
        <f>IF(VLOOKUP(A305,'Aux - pivots1'!$A:$E,5,0)=0, "",VLOOKUP(A305,'Aux - pivots1'!$A:$E,5,0))</f>
        <v/>
      </c>
      <c r="M305" s="208"/>
      <c r="N305" s="208"/>
      <c r="O305" s="342" t="s">
        <v>29</v>
      </c>
    </row>
    <row r="306" spans="1:15" ht="16.2" hidden="1" customHeight="1">
      <c r="A306" s="30" t="str">
        <f t="shared" si="5"/>
        <v>modesg_inp_emss_scibscore_scp1</v>
      </c>
      <c r="B306" s="142" t="s">
        <v>26</v>
      </c>
      <c r="C306" s="138" t="s">
        <v>181</v>
      </c>
      <c r="D306" s="134" t="s">
        <v>40</v>
      </c>
      <c r="E306" s="135" t="s">
        <v>218</v>
      </c>
      <c r="F306" s="134" t="s">
        <v>289</v>
      </c>
      <c r="G306" s="136" t="str">
        <f>VLOOKUP(A306,Plano_V3!$A$26:$G$592,7,0)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2" t="s">
        <v>29</v>
      </c>
    </row>
    <row r="307" spans="1:15" ht="16.2" hidden="1" customHeight="1">
      <c r="A307" s="30" t="str">
        <f t="shared" si="5"/>
        <v>modesg_inp_emss_scibscore_scp2</v>
      </c>
      <c r="B307" s="142" t="s">
        <v>26</v>
      </c>
      <c r="C307" s="138" t="s">
        <v>181</v>
      </c>
      <c r="D307" s="134" t="s">
        <v>40</v>
      </c>
      <c r="E307" s="135" t="s">
        <v>218</v>
      </c>
      <c r="F307" s="134" t="s">
        <v>290</v>
      </c>
      <c r="G307" s="136" t="str">
        <f>VLOOKUP(A307,Plano_V3!$A$26:$G$592,7,0)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2" t="s">
        <v>29</v>
      </c>
    </row>
    <row r="308" spans="1:15" ht="16.2" hidden="1" customHeight="1">
      <c r="A308" s="30" t="str">
        <f t="shared" si="5"/>
        <v>modesg_inp_emss_scibscore_scp3</v>
      </c>
      <c r="B308" s="142" t="s">
        <v>26</v>
      </c>
      <c r="C308" s="138" t="s">
        <v>181</v>
      </c>
      <c r="D308" s="134" t="s">
        <v>40</v>
      </c>
      <c r="E308" s="135" t="s">
        <v>218</v>
      </c>
      <c r="F308" s="134" t="s">
        <v>291</v>
      </c>
      <c r="G308" s="136" t="str">
        <f>VLOOKUP(A308,Plano_V3!$A$26:$G$592,7,0)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2" t="s">
        <v>29</v>
      </c>
    </row>
    <row r="309" spans="1:15" ht="16.2" hidden="1" customHeight="1">
      <c r="A309" s="30" t="str">
        <f t="shared" si="5"/>
        <v>modesg_inp_emss_sciborigem_scp1</v>
      </c>
      <c r="B309" s="142" t="s">
        <v>26</v>
      </c>
      <c r="C309" s="138" t="s">
        <v>181</v>
      </c>
      <c r="D309" s="134" t="s">
        <v>40</v>
      </c>
      <c r="E309" s="135" t="s">
        <v>218</v>
      </c>
      <c r="F309" s="134" t="s">
        <v>292</v>
      </c>
      <c r="G309" s="136" t="str">
        <f>VLOOKUP(A309,Plano_V3!$A$26:$G$592,7,0)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2" t="s">
        <v>29</v>
      </c>
    </row>
    <row r="310" spans="1:15" ht="16.2" hidden="1" customHeight="1">
      <c r="A310" s="30" t="str">
        <f t="shared" si="5"/>
        <v>modesg_inp_emss_sciborigem_scp2</v>
      </c>
      <c r="B310" s="142" t="s">
        <v>26</v>
      </c>
      <c r="C310" s="138" t="s">
        <v>181</v>
      </c>
      <c r="D310" s="134" t="s">
        <v>40</v>
      </c>
      <c r="E310" s="135" t="s">
        <v>218</v>
      </c>
      <c r="F310" s="134" t="s">
        <v>293</v>
      </c>
      <c r="G310" s="136" t="str">
        <f>VLOOKUP(A310,Plano_V3!$A$26:$G$592,7,0)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2" t="s">
        <v>29</v>
      </c>
    </row>
    <row r="311" spans="1:15" ht="16.2" hidden="1" customHeight="1">
      <c r="A311" s="30" t="str">
        <f t="shared" si="5"/>
        <v>modesg_inp_emss_sciborigem_scp3</v>
      </c>
      <c r="B311" s="142" t="s">
        <v>26</v>
      </c>
      <c r="C311" s="138" t="s">
        <v>181</v>
      </c>
      <c r="D311" s="134" t="s">
        <v>40</v>
      </c>
      <c r="E311" s="135" t="s">
        <v>218</v>
      </c>
      <c r="F311" s="134" t="s">
        <v>294</v>
      </c>
      <c r="G311" s="136" t="str">
        <f>VLOOKUP(A311,Plano_V3!$A$26:$G$592,7,0)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2" t="s">
        <v>29</v>
      </c>
    </row>
    <row r="312" spans="1:15" ht="16.2" hidden="1" customHeight="1">
      <c r="A312" s="30" t="str">
        <f t="shared" si="5"/>
        <v>modesg_inp_emss_scibano_info</v>
      </c>
      <c r="B312" s="142" t="s">
        <v>26</v>
      </c>
      <c r="C312" s="138" t="s">
        <v>181</v>
      </c>
      <c r="D312" s="134" t="s">
        <v>40</v>
      </c>
      <c r="E312" s="135" t="s">
        <v>218</v>
      </c>
      <c r="F312" s="134" t="s">
        <v>295</v>
      </c>
      <c r="G312" s="136" t="str">
        <f>VLOOKUP(A312,Plano_V3!$A$26:$G$592,7,0)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2" t="s">
        <v>29</v>
      </c>
    </row>
    <row r="313" spans="1:15" ht="16.2" hidden="1" customHeight="1">
      <c r="A313" s="30" t="str">
        <f t="shared" si="5"/>
        <v>modesg_inp_emss_scibdivida_total</v>
      </c>
      <c r="B313" s="142" t="s">
        <v>26</v>
      </c>
      <c r="C313" s="138" t="s">
        <v>181</v>
      </c>
      <c r="D313" s="134" t="s">
        <v>40</v>
      </c>
      <c r="E313" s="135" t="s">
        <v>218</v>
      </c>
      <c r="F313" s="134" t="s">
        <v>296</v>
      </c>
      <c r="G313" s="136" t="str">
        <f>VLOOKUP(A313,Plano_V3!$A$26:$G$592,7,0)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2" t="s">
        <v>29</v>
      </c>
    </row>
    <row r="314" spans="1:15" ht="16.2" hidden="1" customHeight="1">
      <c r="A314" s="30" t="str">
        <f t="shared" si="5"/>
        <v>modesg_inp_emss_scibcapital_proprio</v>
      </c>
      <c r="B314" s="142" t="s">
        <v>26</v>
      </c>
      <c r="C314" s="138" t="s">
        <v>181</v>
      </c>
      <c r="D314" s="134" t="s">
        <v>40</v>
      </c>
      <c r="E314" s="135" t="s">
        <v>218</v>
      </c>
      <c r="F314" s="134" t="s">
        <v>297</v>
      </c>
      <c r="G314" s="136" t="str">
        <f>VLOOKUP(A314,Plano_V3!$A$26:$G$592,7,0)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2" t="s">
        <v>29</v>
      </c>
    </row>
    <row r="315" spans="1:15" ht="16.2" hidden="1" customHeight="1">
      <c r="A315" s="30" t="str">
        <f t="shared" si="5"/>
        <v>modesg_inp_emss_naceref_date</v>
      </c>
      <c r="B315" s="142" t="s">
        <v>26</v>
      </c>
      <c r="C315" s="138" t="s">
        <v>181</v>
      </c>
      <c r="D315" s="134" t="s">
        <v>40</v>
      </c>
      <c r="E315" s="135" t="s">
        <v>219</v>
      </c>
      <c r="F315" s="134" t="s">
        <v>208</v>
      </c>
      <c r="G315" s="136" t="str">
        <f>VLOOKUP(A315,Plano_V3!$A$26:$G$592,7,0)</f>
        <v>1. Concluído</v>
      </c>
      <c r="H315" s="136" t="s">
        <v>613</v>
      </c>
      <c r="I315" s="143"/>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2" t="s">
        <v>29</v>
      </c>
    </row>
    <row r="316" spans="1:15" ht="16.2" hidden="1" customHeight="1">
      <c r="A316" s="30" t="str">
        <f t="shared" si="5"/>
        <v>modesg_inp_emss_naceano</v>
      </c>
      <c r="B316" s="142" t="s">
        <v>26</v>
      </c>
      <c r="C316" s="138" t="s">
        <v>181</v>
      </c>
      <c r="D316" s="134" t="s">
        <v>40</v>
      </c>
      <c r="E316" s="135" t="s">
        <v>219</v>
      </c>
      <c r="F316" s="134" t="s">
        <v>298</v>
      </c>
      <c r="G316" s="136" t="str">
        <f>VLOOKUP(A316,Plano_V3!$A$26:$G$592,7,0)</f>
        <v>1. Concluído</v>
      </c>
      <c r="H316" s="136" t="s">
        <v>613</v>
      </c>
      <c r="I316" s="144" t="s">
        <v>653</v>
      </c>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2" t="s">
        <v>29</v>
      </c>
    </row>
    <row r="317" spans="1:15" ht="16.2" hidden="1" customHeight="1">
      <c r="A317" s="30" t="str">
        <f t="shared" si="5"/>
        <v>modesg_inp_emss_nacenome_pais</v>
      </c>
      <c r="B317" s="142" t="s">
        <v>26</v>
      </c>
      <c r="C317" s="138" t="s">
        <v>181</v>
      </c>
      <c r="D317" s="134" t="s">
        <v>40</v>
      </c>
      <c r="E317" s="135" t="s">
        <v>219</v>
      </c>
      <c r="F317" s="134" t="s">
        <v>222</v>
      </c>
      <c r="G317" s="136" t="str">
        <f>VLOOKUP(A317,Plano_V3!$A$26:$G$592,7,0)</f>
        <v>1. Concluído</v>
      </c>
      <c r="H317" s="136" t="s">
        <v>613</v>
      </c>
      <c r="I317" s="144" t="s">
        <v>653</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2" t="s">
        <v>29</v>
      </c>
    </row>
    <row r="318" spans="1:15" ht="16.2" hidden="1" customHeight="1">
      <c r="A318" s="30" t="str">
        <f t="shared" si="5"/>
        <v>modesg_inp_emss_nacecod_nace_esg</v>
      </c>
      <c r="B318" s="142" t="s">
        <v>26</v>
      </c>
      <c r="C318" s="138" t="s">
        <v>181</v>
      </c>
      <c r="D318" s="134" t="s">
        <v>40</v>
      </c>
      <c r="E318" s="135" t="s">
        <v>219</v>
      </c>
      <c r="F318" s="134" t="s">
        <v>282</v>
      </c>
      <c r="G318" s="136" t="str">
        <f>VLOOKUP(A318,Plano_V3!$A$26:$G$592,7,0)</f>
        <v>1. Concluído</v>
      </c>
      <c r="H318" s="136" t="s">
        <v>613</v>
      </c>
      <c r="I318" s="143"/>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2" t="s">
        <v>29</v>
      </c>
    </row>
    <row r="319" spans="1:15" ht="16.2" hidden="1" customHeight="1">
      <c r="A319" s="30" t="str">
        <f t="shared" si="5"/>
        <v>modesg_inp_emss_nacecod_class_indust</v>
      </c>
      <c r="B319" s="142" t="s">
        <v>26</v>
      </c>
      <c r="C319" s="138" t="s">
        <v>181</v>
      </c>
      <c r="D319" s="134" t="s">
        <v>40</v>
      </c>
      <c r="E319" s="135" t="s">
        <v>219</v>
      </c>
      <c r="F319" s="134" t="s">
        <v>299</v>
      </c>
      <c r="G319" s="136" t="str">
        <f>VLOOKUP(A319,Plano_V3!$A$26:$G$592,7,0)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2" t="s">
        <v>29</v>
      </c>
    </row>
    <row r="320" spans="1:15" ht="16.2" hidden="1" customHeight="1">
      <c r="A320" s="30" t="str">
        <f t="shared" si="5"/>
        <v>modesg_inp_emss_nacenivel_classificacao_1</v>
      </c>
      <c r="B320" s="142" t="s">
        <v>26</v>
      </c>
      <c r="C320" s="138" t="s">
        <v>181</v>
      </c>
      <c r="D320" s="134" t="s">
        <v>40</v>
      </c>
      <c r="E320" s="135" t="s">
        <v>219</v>
      </c>
      <c r="F320" s="134" t="s">
        <v>300</v>
      </c>
      <c r="G320" s="136" t="str">
        <f>VLOOKUP(A320,Plano_V3!$A$26:$G$592,7,0)</f>
        <v>1. Concluído</v>
      </c>
      <c r="H320" s="136" t="s">
        <v>613</v>
      </c>
      <c r="I320" s="144" t="s">
        <v>653</v>
      </c>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2" t="s">
        <v>29</v>
      </c>
    </row>
    <row r="321" spans="1:15" ht="16.2" hidden="1" customHeight="1">
      <c r="A321" s="30" t="str">
        <f t="shared" si="5"/>
        <v>modesg_inp_emss_naceclasse_ativo</v>
      </c>
      <c r="B321" s="142" t="s">
        <v>26</v>
      </c>
      <c r="C321" s="138" t="s">
        <v>181</v>
      </c>
      <c r="D321" s="134" t="s">
        <v>40</v>
      </c>
      <c r="E321" s="135" t="s">
        <v>219</v>
      </c>
      <c r="F321" s="134" t="s">
        <v>301</v>
      </c>
      <c r="G321" s="136" t="str">
        <f>VLOOKUP(A321,Plano_V3!$A$26:$G$592,7,0)</f>
        <v>1. Concluído</v>
      </c>
      <c r="H321" s="136" t="s">
        <v>613</v>
      </c>
      <c r="I321" s="144" t="s">
        <v>653</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2" t="s">
        <v>29</v>
      </c>
    </row>
    <row r="322" spans="1:15" ht="16.2" hidden="1" customHeight="1">
      <c r="A322" s="30" t="str">
        <f t="shared" si="5"/>
        <v>modesg_inp_emss_naceopcao_metodologia</v>
      </c>
      <c r="B322" s="142" t="s">
        <v>26</v>
      </c>
      <c r="C322" s="138" t="s">
        <v>181</v>
      </c>
      <c r="D322" s="134" t="s">
        <v>40</v>
      </c>
      <c r="E322" s="135" t="s">
        <v>219</v>
      </c>
      <c r="F322" s="134" t="s">
        <v>302</v>
      </c>
      <c r="G322" s="136" t="str">
        <f>VLOOKUP(A322,Plano_V3!$A$26:$G$592,7,0)</f>
        <v>1. Concluído</v>
      </c>
      <c r="H322" s="136" t="s">
        <v>613</v>
      </c>
      <c r="I322" s="144" t="s">
        <v>653</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2" t="s">
        <v>29</v>
      </c>
    </row>
    <row r="323" spans="1:15" ht="16.2" hidden="1" customHeight="1">
      <c r="A323" s="30" t="str">
        <f t="shared" si="5"/>
        <v>modesg_inp_emss_naceunidade_funcional</v>
      </c>
      <c r="B323" s="142" t="s">
        <v>26</v>
      </c>
      <c r="C323" s="138" t="s">
        <v>181</v>
      </c>
      <c r="D323" s="134" t="s">
        <v>40</v>
      </c>
      <c r="E323" s="135" t="s">
        <v>219</v>
      </c>
      <c r="F323" s="134" t="s">
        <v>230</v>
      </c>
      <c r="G323" s="136" t="str">
        <f>VLOOKUP(A323,Plano_V3!$A$26:$G$592,7,0)</f>
        <v>1. Concluído</v>
      </c>
      <c r="H323" s="136" t="s">
        <v>613</v>
      </c>
      <c r="I323" s="143"/>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2" t="s">
        <v>29</v>
      </c>
    </row>
    <row r="324" spans="1:15" ht="16.2" hidden="1" customHeight="1">
      <c r="A324" s="30" t="str">
        <f t="shared" si="5"/>
        <v>modesg_inp_emss_naceunidades_fator_de_emissao</v>
      </c>
      <c r="B324" s="142" t="s">
        <v>26</v>
      </c>
      <c r="C324" s="138" t="s">
        <v>181</v>
      </c>
      <c r="D324" s="134" t="s">
        <v>40</v>
      </c>
      <c r="E324" s="135" t="s">
        <v>219</v>
      </c>
      <c r="F324" s="134" t="s">
        <v>303</v>
      </c>
      <c r="G324" s="136" t="str">
        <f>VLOOKUP(A324,Plano_V3!$A$26:$G$592,7,0)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2" t="s">
        <v>29</v>
      </c>
    </row>
    <row r="325" spans="1:15" ht="16.2" hidden="1" customHeight="1">
      <c r="A325" s="30" t="str">
        <f t="shared" si="5"/>
        <v>modesg_inp_emss_nacescore_qualidade</v>
      </c>
      <c r="B325" s="142" t="s">
        <v>26</v>
      </c>
      <c r="C325" s="138" t="s">
        <v>181</v>
      </c>
      <c r="D325" s="134" t="s">
        <v>40</v>
      </c>
      <c r="E325" s="135" t="s">
        <v>219</v>
      </c>
      <c r="F325" s="134" t="s">
        <v>233</v>
      </c>
      <c r="G325" s="136" t="str">
        <f>VLOOKUP(A325,Plano_V3!$A$26:$G$592,7,0)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2" t="s">
        <v>29</v>
      </c>
    </row>
    <row r="326" spans="1:15" ht="16.2" hidden="1" customHeight="1">
      <c r="A326" s="30" t="str">
        <f t="shared" si="5"/>
        <v>modesg_inp_emss_nacescp1_ftr_emss</v>
      </c>
      <c r="B326" s="142" t="s">
        <v>26</v>
      </c>
      <c r="C326" s="138" t="s">
        <v>181</v>
      </c>
      <c r="D326" s="134" t="s">
        <v>40</v>
      </c>
      <c r="E326" s="135" t="s">
        <v>219</v>
      </c>
      <c r="F326" s="134" t="s">
        <v>234</v>
      </c>
      <c r="G326" s="136" t="str">
        <f>VLOOKUP(A326,Plano_V3!$A$26:$G$592,7,0)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2" t="s">
        <v>29</v>
      </c>
    </row>
    <row r="327" spans="1:15" ht="16.2" hidden="1" customHeight="1">
      <c r="A327" s="30" t="str">
        <f t="shared" si="5"/>
        <v>modesg_inp_emss_nacescp2_ftr_emss</v>
      </c>
      <c r="B327" s="142" t="s">
        <v>26</v>
      </c>
      <c r="C327" s="138" t="s">
        <v>181</v>
      </c>
      <c r="D327" s="134" t="s">
        <v>40</v>
      </c>
      <c r="E327" s="135" t="s">
        <v>219</v>
      </c>
      <c r="F327" s="134" t="s">
        <v>235</v>
      </c>
      <c r="G327" s="136" t="str">
        <f>VLOOKUP(A327,Plano_V3!$A$26:$G$592,7,0)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2" t="s">
        <v>29</v>
      </c>
    </row>
    <row r="328" spans="1:15" ht="16.2" hidden="1" customHeight="1">
      <c r="A328" s="30" t="str">
        <f t="shared" si="5"/>
        <v>modesg_inp_emss_nacescp3_ftr_emss</v>
      </c>
      <c r="B328" s="142" t="s">
        <v>26</v>
      </c>
      <c r="C328" s="138" t="s">
        <v>181</v>
      </c>
      <c r="D328" s="134" t="s">
        <v>40</v>
      </c>
      <c r="E328" s="135" t="s">
        <v>219</v>
      </c>
      <c r="F328" s="134" t="s">
        <v>236</v>
      </c>
      <c r="G328" s="136" t="str">
        <f>VLOOKUP(A328,Plano_V3!$A$26:$G$592,7,0)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2" t="s">
        <v>29</v>
      </c>
    </row>
    <row r="329" spans="1:15" ht="16.2" hidden="1" customHeight="1">
      <c r="A329" s="30" t="str">
        <f t="shared" si="5"/>
        <v>modesg_inp_emss_bens_imoveisref_date</v>
      </c>
      <c r="B329" s="142" t="s">
        <v>26</v>
      </c>
      <c r="C329" s="138" t="s">
        <v>181</v>
      </c>
      <c r="D329" s="134" t="s">
        <v>40</v>
      </c>
      <c r="E329" s="135" t="s">
        <v>220</v>
      </c>
      <c r="F329" s="134" t="s">
        <v>208</v>
      </c>
      <c r="G329" s="136" t="str">
        <f>VLOOKUP(A329,Plano_V3!$A$26:$G$592,7,0)</f>
        <v>1. Concluído</v>
      </c>
      <c r="H329" s="136" t="s">
        <v>613</v>
      </c>
      <c r="I329" s="143"/>
      <c r="J329" s="153" t="str">
        <f>IF(VLOOKUP(A329,'Aux - pivots1'!$A:$E,3,0)=0, "",VLOOKUP(A329,'Aux - pivots1'!$A:$E,3,0))</f>
        <v/>
      </c>
      <c r="K329" s="153">
        <f>IF(VLOOKUP(A329,'Aux - pivots1'!$A:$E,4,0)=0, "",VLOOKUP(A329,'Aux - pivots1'!$A:$E,4,0))</f>
        <v>45603</v>
      </c>
      <c r="L329" s="153">
        <f>IF(VLOOKUP(A329,'Aux - pivots1'!$A:$E,5,0)=0, "",VLOOKUP(A329,'Aux - pivots1'!$A:$E,5,0))</f>
        <v>45534</v>
      </c>
      <c r="M329" s="208"/>
      <c r="N329" s="208"/>
      <c r="O329" s="342" t="s">
        <v>29</v>
      </c>
    </row>
    <row r="330" spans="1:15" ht="16.2" hidden="1" customHeight="1">
      <c r="A330" s="30" t="str">
        <f t="shared" si="5"/>
        <v>modesg_inp_emss_bens_imoveisnome_pais</v>
      </c>
      <c r="B330" s="142" t="s">
        <v>26</v>
      </c>
      <c r="C330" s="138" t="s">
        <v>181</v>
      </c>
      <c r="D330" s="134" t="s">
        <v>40</v>
      </c>
      <c r="E330" s="135" t="s">
        <v>220</v>
      </c>
      <c r="F330" s="134" t="s">
        <v>222</v>
      </c>
      <c r="G330" s="136" t="str">
        <f>VLOOKUP(A330,Plano_V3!$A$26:$G$592,7,0)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2" t="s">
        <v>29</v>
      </c>
    </row>
    <row r="331" spans="1:15" ht="16.2" hidden="1" customHeight="1">
      <c r="A331" s="30" t="str">
        <f t="shared" si="5"/>
        <v>modesg_inp_emss_bens_imoveisnome_estado</v>
      </c>
      <c r="B331" s="142" t="s">
        <v>26</v>
      </c>
      <c r="C331" s="138" t="s">
        <v>181</v>
      </c>
      <c r="D331" s="134" t="s">
        <v>40</v>
      </c>
      <c r="E331" s="135" t="s">
        <v>220</v>
      </c>
      <c r="F331" s="134" t="s">
        <v>223</v>
      </c>
      <c r="G331" s="136" t="str">
        <f>VLOOKUP(A331,Plano_V3!$A$26:$G$592,7,0)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2" t="s">
        <v>29</v>
      </c>
    </row>
    <row r="332" spans="1:15" ht="16.2" hidden="1" customHeight="1">
      <c r="A332" s="30" t="str">
        <f t="shared" si="5"/>
        <v>modesg_inp_emss_bens_imoveisclasse_ativo</v>
      </c>
      <c r="B332" s="142" t="s">
        <v>26</v>
      </c>
      <c r="C332" s="138" t="s">
        <v>181</v>
      </c>
      <c r="D332" s="134" t="s">
        <v>40</v>
      </c>
      <c r="E332" s="135" t="s">
        <v>220</v>
      </c>
      <c r="F332" s="134" t="s">
        <v>301</v>
      </c>
      <c r="G332" s="136" t="str">
        <f>VLOOKUP(A332,Plano_V3!$A$26:$G$592,7,0)</f>
        <v>1. Concluído</v>
      </c>
      <c r="H332" s="136" t="s">
        <v>613</v>
      </c>
      <c r="I332" s="144" t="s">
        <v>653</v>
      </c>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2" t="s">
        <v>29</v>
      </c>
    </row>
    <row r="333" spans="1:15" ht="16.2" hidden="1" customHeight="1">
      <c r="A333" s="30" t="str">
        <f t="shared" si="5"/>
        <v>modesg_inp_emss_bens_imoveistipo_fator_emissao</v>
      </c>
      <c r="B333" s="142" t="s">
        <v>26</v>
      </c>
      <c r="C333" s="138" t="s">
        <v>181</v>
      </c>
      <c r="D333" s="134" t="s">
        <v>40</v>
      </c>
      <c r="E333" s="135" t="s">
        <v>220</v>
      </c>
      <c r="F333" s="134" t="s">
        <v>304</v>
      </c>
      <c r="G333" s="136" t="str">
        <f>VLOOKUP(A333,Plano_V3!$A$26:$G$592,7,0)</f>
        <v>1. Concluído</v>
      </c>
      <c r="H333" s="136" t="s">
        <v>613</v>
      </c>
      <c r="I333" s="144" t="s">
        <v>653</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2" t="s">
        <v>29</v>
      </c>
    </row>
    <row r="334" spans="1:15" ht="16.2" hidden="1" customHeight="1">
      <c r="A334" s="30" t="str">
        <f t="shared" si="5"/>
        <v>modesg_inp_emss_bens_imoveisregiao</v>
      </c>
      <c r="B334" s="142" t="s">
        <v>26</v>
      </c>
      <c r="C334" s="138" t="s">
        <v>181</v>
      </c>
      <c r="D334" s="134" t="s">
        <v>40</v>
      </c>
      <c r="E334" s="135" t="s">
        <v>220</v>
      </c>
      <c r="F334" s="134" t="s">
        <v>305</v>
      </c>
      <c r="G334" s="136" t="str">
        <f>VLOOKUP(A334,Plano_V3!$A$26:$G$592,7,0)</f>
        <v>1. Concluído</v>
      </c>
      <c r="H334" s="136" t="s">
        <v>613</v>
      </c>
      <c r="I334" s="144" t="s">
        <v>653</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2" t="s">
        <v>29</v>
      </c>
    </row>
    <row r="335" spans="1:15" ht="16.2" hidden="1" customHeight="1">
      <c r="A335" s="30" t="str">
        <f t="shared" si="5"/>
        <v>modesg_inp_emss_bens_imoveistipo_bem</v>
      </c>
      <c r="B335" s="142" t="s">
        <v>26</v>
      </c>
      <c r="C335" s="138" t="s">
        <v>181</v>
      </c>
      <c r="D335" s="134" t="s">
        <v>40</v>
      </c>
      <c r="E335" s="135" t="s">
        <v>220</v>
      </c>
      <c r="F335" s="134" t="s">
        <v>306</v>
      </c>
      <c r="G335" s="136" t="str">
        <f>VLOOKUP(A335,Plano_V3!$A$26:$G$592,7,0)</f>
        <v>1. Concluído</v>
      </c>
      <c r="H335" s="136" t="s">
        <v>613</v>
      </c>
      <c r="I335" s="143"/>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2" t="s">
        <v>29</v>
      </c>
    </row>
    <row r="336" spans="1:15" ht="16.2" hidden="1" customHeight="1">
      <c r="A336" s="30" t="str">
        <f t="shared" si="5"/>
        <v>modesg_inp_emss_bens_imoveistipo_finalidade_bem</v>
      </c>
      <c r="B336" s="142" t="s">
        <v>26</v>
      </c>
      <c r="C336" s="138" t="s">
        <v>181</v>
      </c>
      <c r="D336" s="134" t="s">
        <v>40</v>
      </c>
      <c r="E336" s="135" t="s">
        <v>220</v>
      </c>
      <c r="F336" s="134" t="s">
        <v>307</v>
      </c>
      <c r="G336" s="136" t="str">
        <f>VLOOKUP(A336,Plano_V3!$A$26:$G$592,7,0)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2" t="s">
        <v>29</v>
      </c>
    </row>
    <row r="337" spans="1:15" ht="16.2" hidden="1" customHeight="1">
      <c r="A337" s="30" t="str">
        <f t="shared" si="5"/>
        <v>modesg_inp_emss_bens_imoveisepc</v>
      </c>
      <c r="B337" s="142" t="s">
        <v>26</v>
      </c>
      <c r="C337" s="138" t="s">
        <v>181</v>
      </c>
      <c r="D337" s="134" t="s">
        <v>40</v>
      </c>
      <c r="E337" s="135" t="s">
        <v>220</v>
      </c>
      <c r="F337" s="134" t="s">
        <v>198</v>
      </c>
      <c r="G337" s="136" t="str">
        <f>VLOOKUP(A337,Plano_V3!$A$26:$G$592,7,0)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2" t="s">
        <v>29</v>
      </c>
    </row>
    <row r="338" spans="1:15" ht="16.2" hidden="1" customHeight="1">
      <c r="A338" s="30" t="str">
        <f t="shared" si="5"/>
        <v>modesg_inp_emss_bens_imoveisflg_ftr_emss_area</v>
      </c>
      <c r="B338" s="142" t="s">
        <v>26</v>
      </c>
      <c r="C338" s="138" t="s">
        <v>181</v>
      </c>
      <c r="D338" s="134" t="s">
        <v>40</v>
      </c>
      <c r="E338" s="135" t="s">
        <v>220</v>
      </c>
      <c r="F338" s="134" t="s">
        <v>308</v>
      </c>
      <c r="G338" s="136" t="str">
        <f>VLOOKUP(A338,Plano_V3!$A$26:$G$592,7,0)</f>
        <v>0. Cancelado</v>
      </c>
      <c r="H338" s="136" t="s">
        <v>612</v>
      </c>
      <c r="I338" s="145" t="s">
        <v>655</v>
      </c>
      <c r="J338" s="153" t="str">
        <f>IF(VLOOKUP(A338,'Aux - pivots1'!$A:$E,3,0)=0, "",VLOOKUP(A338,'Aux - pivots1'!$A:$E,3,0))</f>
        <v/>
      </c>
      <c r="K338" s="153">
        <f>IF(VLOOKUP(A338,'Aux - pivots1'!$A:$E,4,0)=0, "",VLOOKUP(A338,'Aux - pivots1'!$A:$E,4,0))</f>
        <v>45534</v>
      </c>
      <c r="L338" s="153">
        <f>IF(VLOOKUP(A338,'Aux - pivots1'!$A:$E,5,0)=0, "",VLOOKUP(A338,'Aux - pivots1'!$A:$E,5,0))</f>
        <v>45534</v>
      </c>
      <c r="M338" s="208"/>
      <c r="N338" s="208"/>
      <c r="O338" s="342" t="s">
        <v>29</v>
      </c>
    </row>
    <row r="339" spans="1:15" ht="16.2" hidden="1" customHeight="1">
      <c r="A339" s="30" t="str">
        <f t="shared" ref="A339:A402" si="6">E339&amp;F339</f>
        <v>modesg_inp_emss_bens_imoveisnome_unidade_funcional</v>
      </c>
      <c r="B339" s="142" t="s">
        <v>26</v>
      </c>
      <c r="C339" s="138" t="s">
        <v>181</v>
      </c>
      <c r="D339" s="134" t="s">
        <v>40</v>
      </c>
      <c r="E339" s="135" t="s">
        <v>220</v>
      </c>
      <c r="F339" s="134" t="s">
        <v>229</v>
      </c>
      <c r="G339" s="136" t="str">
        <f>VLOOKUP(A339,Plano_V3!$A$26:$G$592,7,0)</f>
        <v>1. Concluído</v>
      </c>
      <c r="H339" s="136" t="s">
        <v>613</v>
      </c>
      <c r="I339" s="143"/>
      <c r="J339" s="153" t="str">
        <f>IF(VLOOKUP(A339,'Aux - pivots1'!$A:$E,3,0)=0, "",VLOOKUP(A339,'Aux - pivots1'!$A:$E,3,0))</f>
        <v/>
      </c>
      <c r="K339" s="153">
        <f>IF(VLOOKUP(A339,'Aux - pivots1'!$A:$E,4,0)=0, "",VLOOKUP(A339,'Aux - pivots1'!$A:$E,4,0))</f>
        <v>45603</v>
      </c>
      <c r="L339" s="153">
        <f>IF(VLOOKUP(A339,'Aux - pivots1'!$A:$E,5,0)=0, "",VLOOKUP(A339,'Aux - pivots1'!$A:$E,5,0))</f>
        <v>45534</v>
      </c>
      <c r="M339" s="208"/>
      <c r="N339" s="208"/>
      <c r="O339" s="342" t="s">
        <v>29</v>
      </c>
    </row>
    <row r="340" spans="1:15" ht="16.2" hidden="1" customHeight="1">
      <c r="A340" s="30" t="str">
        <f t="shared" si="6"/>
        <v>modesg_inp_emss_bens_imoveisunidade_funcional</v>
      </c>
      <c r="B340" s="142" t="s">
        <v>26</v>
      </c>
      <c r="C340" s="138" t="s">
        <v>181</v>
      </c>
      <c r="D340" s="134" t="s">
        <v>40</v>
      </c>
      <c r="E340" s="135" t="s">
        <v>220</v>
      </c>
      <c r="F340" s="134" t="s">
        <v>230</v>
      </c>
      <c r="G340" s="136" t="str">
        <f>VLOOKUP(A340,Plano_V3!$A$26:$G$592,7,0)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2" t="s">
        <v>29</v>
      </c>
    </row>
    <row r="341" spans="1:15" ht="16.2" hidden="1" customHeight="1">
      <c r="A341" s="30" t="str">
        <f t="shared" si="6"/>
        <v>modesg_inp_emss_bens_imoveisnome_fator_emissao</v>
      </c>
      <c r="B341" s="142" t="s">
        <v>26</v>
      </c>
      <c r="C341" s="138" t="s">
        <v>181</v>
      </c>
      <c r="D341" s="134" t="s">
        <v>40</v>
      </c>
      <c r="E341" s="135" t="s">
        <v>220</v>
      </c>
      <c r="F341" s="134" t="s">
        <v>231</v>
      </c>
      <c r="G341" s="136" t="str">
        <f>VLOOKUP(A341,Plano_V3!$A$26:$G$592,7,0)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2" t="s">
        <v>29</v>
      </c>
    </row>
    <row r="342" spans="1:15" ht="16.2" hidden="1" customHeight="1">
      <c r="A342" s="30" t="str">
        <f t="shared" si="6"/>
        <v>modesg_inp_emss_bens_imoveisunidade_fator_de_emissao</v>
      </c>
      <c r="B342" s="142" t="s">
        <v>26</v>
      </c>
      <c r="C342" s="138" t="s">
        <v>181</v>
      </c>
      <c r="D342" s="134" t="s">
        <v>40</v>
      </c>
      <c r="E342" s="135" t="s">
        <v>220</v>
      </c>
      <c r="F342" s="134" t="s">
        <v>232</v>
      </c>
      <c r="G342" s="136" t="str">
        <f>VLOOKUP(A342,Plano_V3!$A$26:$G$592,7,0)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2" t="s">
        <v>29</v>
      </c>
    </row>
    <row r="343" spans="1:15" ht="16.2" hidden="1" customHeight="1">
      <c r="A343" s="30" t="str">
        <f t="shared" si="6"/>
        <v>modesg_inp_emss_bens_imoveisscore_qualidade</v>
      </c>
      <c r="B343" s="142" t="s">
        <v>26</v>
      </c>
      <c r="C343" s="138" t="s">
        <v>181</v>
      </c>
      <c r="D343" s="134" t="s">
        <v>40</v>
      </c>
      <c r="E343" s="135" t="s">
        <v>220</v>
      </c>
      <c r="F343" s="134" t="s">
        <v>233</v>
      </c>
      <c r="G343" s="136" t="str">
        <f>VLOOKUP(A343,Plano_V3!$A$26:$G$592,7,0)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2" t="s">
        <v>29</v>
      </c>
    </row>
    <row r="344" spans="1:15" ht="16.2" hidden="1" customHeight="1">
      <c r="A344" s="30" t="str">
        <f t="shared" si="6"/>
        <v>modesg_inp_emss_bens_imoveisano_fator_emissao</v>
      </c>
      <c r="B344" s="142" t="s">
        <v>26</v>
      </c>
      <c r="C344" s="138" t="s">
        <v>181</v>
      </c>
      <c r="D344" s="134" t="s">
        <v>40</v>
      </c>
      <c r="E344" s="135" t="s">
        <v>220</v>
      </c>
      <c r="F344" s="134" t="s">
        <v>309</v>
      </c>
      <c r="G344" s="136" t="str">
        <f>VLOOKUP(A344,Plano_V3!$A$26:$G$592,7,0)</f>
        <v>1. Concluído</v>
      </c>
      <c r="H344" s="136" t="s">
        <v>613</v>
      </c>
      <c r="I344" s="144" t="s">
        <v>653</v>
      </c>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2" t="s">
        <v>29</v>
      </c>
    </row>
    <row r="345" spans="1:15" ht="16.2" hidden="1" customHeight="1">
      <c r="A345" s="30" t="str">
        <f t="shared" si="6"/>
        <v>modesg_inp_emss_bens_imoveisscp1_ftr_emss</v>
      </c>
      <c r="B345" s="142" t="s">
        <v>26</v>
      </c>
      <c r="C345" s="138" t="s">
        <v>181</v>
      </c>
      <c r="D345" s="134" t="s">
        <v>40</v>
      </c>
      <c r="E345" s="135" t="s">
        <v>220</v>
      </c>
      <c r="F345" s="134" t="s">
        <v>234</v>
      </c>
      <c r="G345" s="136" t="str">
        <f>VLOOKUP(A345,Plano_V3!$A$26:$G$592,7,0)</f>
        <v>1. Concluído</v>
      </c>
      <c r="H345" s="136" t="s">
        <v>613</v>
      </c>
      <c r="I345" s="143"/>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2" t="s">
        <v>29</v>
      </c>
    </row>
    <row r="346" spans="1:15" ht="16.2" hidden="1" customHeight="1">
      <c r="A346" s="30" t="str">
        <f t="shared" si="6"/>
        <v>modesg_inp_emss_bens_imoveisscp2_ftr_emss</v>
      </c>
      <c r="B346" s="142" t="s">
        <v>26</v>
      </c>
      <c r="C346" s="138" t="s">
        <v>181</v>
      </c>
      <c r="D346" s="134" t="s">
        <v>40</v>
      </c>
      <c r="E346" s="135" t="s">
        <v>220</v>
      </c>
      <c r="F346" s="134" t="s">
        <v>235</v>
      </c>
      <c r="G346" s="136" t="str">
        <f>VLOOKUP(A346,Plano_V3!$A$26:$G$592,7,0)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2" t="s">
        <v>29</v>
      </c>
    </row>
    <row r="347" spans="1:15" ht="16.2" hidden="1" customHeight="1">
      <c r="A347" s="30" t="str">
        <f t="shared" si="6"/>
        <v>modesg_out_bens_imoveisn.a.</v>
      </c>
      <c r="B347" s="142" t="s">
        <v>26</v>
      </c>
      <c r="C347" s="138" t="s">
        <v>311</v>
      </c>
      <c r="D347" s="134" t="s">
        <v>36</v>
      </c>
      <c r="E347" s="135" t="s">
        <v>312</v>
      </c>
      <c r="F347" s="134" t="s">
        <v>38</v>
      </c>
      <c r="G347" s="136" t="str">
        <f>VLOOKUP(A347,Plano_V3!$A$26:$G$592,7,0)</f>
        <v>1. Concluído</v>
      </c>
      <c r="H347" s="136" t="s">
        <v>613</v>
      </c>
      <c r="I347" s="143"/>
      <c r="J347" s="153" t="str">
        <f>IF(VLOOKUP(A347,'Aux - pivots1'!$A:$E,3,0)=0, "",VLOOKUP(A347,'Aux - pivots1'!$A:$E,3,0))</f>
        <v/>
      </c>
      <c r="K347" s="153" t="str">
        <f>IF(VLOOKUP(A347,'Aux - pivots1'!$A:$E,4,0)=0, "",VLOOKUP(A347,'Aux - pivots1'!$A:$E,4,0))</f>
        <v/>
      </c>
      <c r="L347" s="153" t="str">
        <f>IF(VLOOKUP(A347,'Aux - pivots1'!$A:$E,5,0)=0, "",VLOOKUP(A347,'Aux - pivots1'!$A:$E,5,0))</f>
        <v/>
      </c>
      <c r="M347" s="208"/>
      <c r="N347" s="208"/>
      <c r="O347" s="342" t="s">
        <v>29</v>
      </c>
    </row>
    <row r="348" spans="1:15" ht="16.2" hidden="1" customHeight="1">
      <c r="A348" s="30" t="str">
        <f t="shared" si="6"/>
        <v>modesg_out_bens_imoveiscempbem</v>
      </c>
      <c r="B348" s="142" t="s">
        <v>26</v>
      </c>
      <c r="C348" s="138" t="s">
        <v>311</v>
      </c>
      <c r="D348" s="134" t="s">
        <v>40</v>
      </c>
      <c r="E348" s="135" t="s">
        <v>312</v>
      </c>
      <c r="F348" s="134" t="s">
        <v>314</v>
      </c>
      <c r="G348" s="136" t="str">
        <f>VLOOKUP(A348,Plano_V3!$A$26:$G$592,7,0)</f>
        <v>1. Concluído</v>
      </c>
      <c r="H348" s="136" t="s">
        <v>613</v>
      </c>
      <c r="I348" s="154"/>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2" t="s">
        <v>29</v>
      </c>
    </row>
    <row r="349" spans="1:15" ht="16.2" hidden="1" customHeight="1">
      <c r="A349" s="30" t="str">
        <f t="shared" si="6"/>
        <v>modesg_out_bens_imoveisckbalbem</v>
      </c>
      <c r="B349" s="142" t="s">
        <v>26</v>
      </c>
      <c r="C349" s="138" t="s">
        <v>311</v>
      </c>
      <c r="D349" s="134" t="s">
        <v>40</v>
      </c>
      <c r="E349" s="135" t="s">
        <v>312</v>
      </c>
      <c r="F349" s="134" t="s">
        <v>315</v>
      </c>
      <c r="G349" s="136" t="str">
        <f>VLOOKUP(A349,Plano_V3!$A$26:$G$592,7,0)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2" t="s">
        <v>29</v>
      </c>
    </row>
    <row r="350" spans="1:15" ht="16.2" hidden="1" customHeight="1">
      <c r="A350" s="30" t="str">
        <f t="shared" si="6"/>
        <v>modesg_out_bens_imoveisckctabem</v>
      </c>
      <c r="B350" s="142" t="s">
        <v>26</v>
      </c>
      <c r="C350" s="138" t="s">
        <v>311</v>
      </c>
      <c r="D350" s="134" t="s">
        <v>40</v>
      </c>
      <c r="E350" s="135" t="s">
        <v>312</v>
      </c>
      <c r="F350" s="134" t="s">
        <v>316</v>
      </c>
      <c r="G350" s="136" t="str">
        <f>VLOOKUP(A350,Plano_V3!$A$26:$G$592,7,0)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2" t="s">
        <v>29</v>
      </c>
    </row>
    <row r="351" spans="1:15" ht="16.2" hidden="1" customHeight="1">
      <c r="A351" s="30" t="str">
        <f t="shared" si="6"/>
        <v>modesg_out_bens_imoveisckrefbem</v>
      </c>
      <c r="B351" s="142" t="s">
        <v>26</v>
      </c>
      <c r="C351" s="138" t="s">
        <v>311</v>
      </c>
      <c r="D351" s="134" t="s">
        <v>40</v>
      </c>
      <c r="E351" s="135" t="s">
        <v>312</v>
      </c>
      <c r="F351" s="134" t="s">
        <v>317</v>
      </c>
      <c r="G351" s="136" t="str">
        <f>VLOOKUP(A351,Plano_V3!$A$26:$G$592,7,0)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2" t="s">
        <v>29</v>
      </c>
    </row>
    <row r="352" spans="1:15" ht="16.2" hidden="1" customHeight="1">
      <c r="A352" s="30" t="str">
        <f t="shared" si="6"/>
        <v>modesg_out_bens_imoveisflg_rsc_fsc_agd</v>
      </c>
      <c r="B352" s="142" t="s">
        <v>26</v>
      </c>
      <c r="C352" s="138" t="s">
        <v>311</v>
      </c>
      <c r="D352" s="134" t="s">
        <v>40</v>
      </c>
      <c r="E352" s="135" t="s">
        <v>312</v>
      </c>
      <c r="F352" s="134" t="s">
        <v>283</v>
      </c>
      <c r="G352" s="136" t="str">
        <f>VLOOKUP(A352,Plano_V3!$A$26:$G$592,7,0)</f>
        <v>2.1 Em Teste</v>
      </c>
      <c r="H352" s="136" t="s">
        <v>1921</v>
      </c>
      <c r="I352" s="143" t="s">
        <v>656</v>
      </c>
      <c r="J352" s="153">
        <f>IF(VLOOKUP(A352,'Aux - pivots1'!$A:$E,3,0)=0, "",VLOOKUP(A352,'Aux - pivots1'!$A:$E,3,0))</f>
        <v>45569</v>
      </c>
      <c r="K352" s="153">
        <f>IF(VLOOKUP(A352,'Aux - pivots1'!$A:$E,4,0)=0, "",VLOOKUP(A352,'Aux - pivots1'!$A:$E,4,0))</f>
        <v>45621</v>
      </c>
      <c r="L352" s="153">
        <f>IF(VLOOKUP(A352,'Aux - pivots1'!$A:$E,5,0)=0, "",VLOOKUP(A352,'Aux - pivots1'!$A:$E,5,0))</f>
        <v>45631</v>
      </c>
      <c r="M352" s="208"/>
      <c r="N352" s="208"/>
      <c r="O352" s="342" t="s">
        <v>29</v>
      </c>
    </row>
    <row r="353" spans="1:15" ht="16.2" hidden="1" customHeight="1">
      <c r="A353" s="30" t="str">
        <f t="shared" si="6"/>
        <v>modesg_out_bens_imoveisflg_rsc_fsc_crnc</v>
      </c>
      <c r="B353" s="142" t="s">
        <v>26</v>
      </c>
      <c r="C353" s="138" t="s">
        <v>311</v>
      </c>
      <c r="D353" s="134" t="s">
        <v>40</v>
      </c>
      <c r="E353" s="135" t="s">
        <v>312</v>
      </c>
      <c r="F353" s="134" t="s">
        <v>284</v>
      </c>
      <c r="G353" s="136" t="str">
        <f>VLOOKUP(A353,Plano_V3!$A$26:$G$592,7,0)</f>
        <v>2.1 Em Teste</v>
      </c>
      <c r="H353" s="136" t="s">
        <v>1921</v>
      </c>
      <c r="I353" s="143" t="s">
        <v>656</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2" t="s">
        <v>29</v>
      </c>
    </row>
    <row r="354" spans="1:15" ht="16.2" hidden="1" customHeight="1">
      <c r="A354" s="30" t="str">
        <f t="shared" si="6"/>
        <v>modesg_out_bens_imoveisorigem_flg_rsc_fsc_agd</v>
      </c>
      <c r="B354" s="142" t="s">
        <v>26</v>
      </c>
      <c r="C354" s="138" t="s">
        <v>311</v>
      </c>
      <c r="D354" s="134" t="s">
        <v>40</v>
      </c>
      <c r="E354" s="135" t="s">
        <v>312</v>
      </c>
      <c r="F354" s="134" t="s">
        <v>318</v>
      </c>
      <c r="G354" s="136" t="str">
        <f>VLOOKUP(A354,Plano_V3!$A$26:$G$592,7,0)</f>
        <v>2.1 Em Teste</v>
      </c>
      <c r="H354" s="136" t="s">
        <v>1921</v>
      </c>
      <c r="I354" s="143" t="s">
        <v>656</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2" t="s">
        <v>29</v>
      </c>
    </row>
    <row r="355" spans="1:15" ht="16.2" hidden="1" customHeight="1">
      <c r="A355" s="30" t="str">
        <f t="shared" si="6"/>
        <v>modesg_out_bens_imoveisorigem_flg_rsc_fsc_crnc</v>
      </c>
      <c r="B355" s="142" t="s">
        <v>26</v>
      </c>
      <c r="C355" s="138" t="s">
        <v>311</v>
      </c>
      <c r="D355" s="134" t="s">
        <v>40</v>
      </c>
      <c r="E355" s="135" t="s">
        <v>312</v>
      </c>
      <c r="F355" s="134" t="s">
        <v>319</v>
      </c>
      <c r="G355" s="136" t="str">
        <f>VLOOKUP(A355,Plano_V3!$A$26:$G$592,7,0)</f>
        <v>2.1 Em Teste</v>
      </c>
      <c r="H355" s="136" t="s">
        <v>1921</v>
      </c>
      <c r="I355" s="143" t="s">
        <v>656</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2" t="s">
        <v>29</v>
      </c>
    </row>
    <row r="356" spans="1:15" ht="16.2" hidden="1" customHeight="1">
      <c r="A356" s="30" t="str">
        <f t="shared" si="6"/>
        <v>modesg_out_bens_imoveisorigem_scp1_emss</v>
      </c>
      <c r="B356" s="142" t="s">
        <v>26</v>
      </c>
      <c r="C356" s="138" t="s">
        <v>311</v>
      </c>
      <c r="D356" s="134" t="s">
        <v>40</v>
      </c>
      <c r="E356" s="135" t="s">
        <v>312</v>
      </c>
      <c r="F356" s="134" t="s">
        <v>320</v>
      </c>
      <c r="G356" s="136" t="str">
        <f>VLOOKUP(A356,Plano_V3!$A$26:$G$592,7,0)</f>
        <v>1. Concluído</v>
      </c>
      <c r="H356" s="136" t="s">
        <v>613</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8"/>
      <c r="N356" s="208"/>
      <c r="O356" s="342" t="s">
        <v>29</v>
      </c>
    </row>
    <row r="357" spans="1:15" ht="16.2" hidden="1" customHeight="1">
      <c r="A357" s="30" t="str">
        <f t="shared" si="6"/>
        <v>modesg_out_bens_imoveisorigem_scp2_emss</v>
      </c>
      <c r="B357" s="142" t="s">
        <v>26</v>
      </c>
      <c r="C357" s="138" t="s">
        <v>311</v>
      </c>
      <c r="D357" s="134" t="s">
        <v>40</v>
      </c>
      <c r="E357" s="135" t="s">
        <v>312</v>
      </c>
      <c r="F357" s="134" t="s">
        <v>321</v>
      </c>
      <c r="G357" s="136" t="str">
        <f>VLOOKUP(A357,Plano_V3!$A$26:$G$592,7,0)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2" t="s">
        <v>29</v>
      </c>
    </row>
    <row r="358" spans="1:15" ht="16.2" hidden="1" customHeight="1">
      <c r="A358" s="30" t="str">
        <f t="shared" si="6"/>
        <v>modesg_out_bens_imoveisorigem_scp3_emss</v>
      </c>
      <c r="B358" s="142" t="s">
        <v>26</v>
      </c>
      <c r="C358" s="138" t="s">
        <v>311</v>
      </c>
      <c r="D358" s="134" t="s">
        <v>40</v>
      </c>
      <c r="E358" s="135" t="s">
        <v>312</v>
      </c>
      <c r="F358" s="134" t="s">
        <v>322</v>
      </c>
      <c r="G358" s="136" t="str">
        <f>VLOOKUP(A358,Plano_V3!$A$26:$G$592,7,0)</f>
        <v>1. Concluído</v>
      </c>
      <c r="H358" s="136" t="s">
        <v>613</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8"/>
      <c r="N358" s="208"/>
      <c r="O358" s="342" t="s">
        <v>29</v>
      </c>
    </row>
    <row r="359" spans="1:15" ht="16.2" hidden="1" customHeight="1">
      <c r="A359" s="30" t="str">
        <f t="shared" si="6"/>
        <v>modesg_out_bens_imoveisref_date</v>
      </c>
      <c r="B359" s="142" t="s">
        <v>26</v>
      </c>
      <c r="C359" s="138" t="s">
        <v>311</v>
      </c>
      <c r="D359" s="134" t="s">
        <v>40</v>
      </c>
      <c r="E359" s="135" t="s">
        <v>312</v>
      </c>
      <c r="F359" s="134" t="s">
        <v>208</v>
      </c>
      <c r="G359" s="136" t="str">
        <f>VLOOKUP(A359,Plano_V3!$A$26:$G$592,7,0)</f>
        <v>1. Concluído</v>
      </c>
      <c r="H359" s="136" t="s">
        <v>613</v>
      </c>
      <c r="I359" s="154"/>
      <c r="J359" s="153" t="str">
        <f>IF(VLOOKUP(A359,'Aux - pivots1'!$A:$E,3,0)=0, "",VLOOKUP(A359,'Aux - pivots1'!$A:$E,3,0))</f>
        <v/>
      </c>
      <c r="K359" s="153" t="str">
        <f>IF(VLOOKUP(A359,'Aux - pivots1'!$A:$E,4,0)=0, "",VLOOKUP(A359,'Aux - pivots1'!$A:$E,4,0))</f>
        <v/>
      </c>
      <c r="L359" s="153" t="str">
        <f>IF(VLOOKUP(A359,'Aux - pivots1'!$A:$E,5,0)=0, "",VLOOKUP(A359,'Aux - pivots1'!$A:$E,5,0))</f>
        <v/>
      </c>
      <c r="M359" s="208"/>
      <c r="N359" s="208"/>
      <c r="O359" s="342" t="s">
        <v>29</v>
      </c>
    </row>
    <row r="360" spans="1:15" ht="16.2" hidden="1" customHeight="1">
      <c r="A360" s="30" t="str">
        <f t="shared" si="6"/>
        <v>modesg_out_bens_imoveisscp1_emss</v>
      </c>
      <c r="B360" s="142" t="s">
        <v>26</v>
      </c>
      <c r="C360" s="138" t="s">
        <v>311</v>
      </c>
      <c r="D360" s="134" t="s">
        <v>40</v>
      </c>
      <c r="E360" s="135" t="s">
        <v>312</v>
      </c>
      <c r="F360" s="134" t="s">
        <v>286</v>
      </c>
      <c r="G360" s="136" t="str">
        <f>VLOOKUP(A360,Plano_V3!$A$26:$G$592,7,0)</f>
        <v>1. Concluído</v>
      </c>
      <c r="H360" s="136" t="s">
        <v>613</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8"/>
      <c r="N360" s="208"/>
      <c r="O360" s="342" t="s">
        <v>29</v>
      </c>
    </row>
    <row r="361" spans="1:15" ht="16.2" hidden="1" customHeight="1">
      <c r="A361" s="30" t="str">
        <f t="shared" si="6"/>
        <v>modesg_out_bens_imoveisscp2_emss</v>
      </c>
      <c r="B361" s="142" t="s">
        <v>26</v>
      </c>
      <c r="C361" s="138" t="s">
        <v>311</v>
      </c>
      <c r="D361" s="134" t="s">
        <v>40</v>
      </c>
      <c r="E361" s="135" t="s">
        <v>312</v>
      </c>
      <c r="F361" s="134" t="s">
        <v>287</v>
      </c>
      <c r="G361" s="136" t="str">
        <f>VLOOKUP(A361,Plano_V3!$A$26:$G$592,7,0)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2" t="s">
        <v>29</v>
      </c>
    </row>
    <row r="362" spans="1:15" ht="16.2" hidden="1" customHeight="1">
      <c r="A362" s="30" t="str">
        <f t="shared" si="6"/>
        <v>modesg_out_bens_imoveisscp3_emss</v>
      </c>
      <c r="B362" s="142" t="s">
        <v>26</v>
      </c>
      <c r="C362" s="138" t="s">
        <v>311</v>
      </c>
      <c r="D362" s="134" t="s">
        <v>40</v>
      </c>
      <c r="E362" s="135" t="s">
        <v>312</v>
      </c>
      <c r="F362" s="134" t="s">
        <v>288</v>
      </c>
      <c r="G362" s="136" t="str">
        <f>VLOOKUP(A362,Plano_V3!$A$26:$G$592,7,0)</f>
        <v>1. Concluído</v>
      </c>
      <c r="H362" s="136" t="s">
        <v>613</v>
      </c>
      <c r="I362" s="154"/>
      <c r="J362" s="153" t="str">
        <f>IF(VLOOKUP(A362,'Aux - pivots1'!$A:$E,3,0)=0, "",VLOOKUP(A362,'Aux - pivots1'!$A:$E,3,0))</f>
        <v/>
      </c>
      <c r="K362" s="153" t="str">
        <f>IF(VLOOKUP(A362,'Aux - pivots1'!$A:$E,4,0)=0, "",VLOOKUP(A362,'Aux - pivots1'!$A:$E,4,0))</f>
        <v/>
      </c>
      <c r="L362" s="153" t="str">
        <f>IF(VLOOKUP(A362,'Aux - pivots1'!$A:$E,5,0)=0, "",VLOOKUP(A362,'Aux - pivots1'!$A:$E,5,0))</f>
        <v/>
      </c>
      <c r="M362" s="208"/>
      <c r="N362" s="208"/>
      <c r="O362" s="342" t="s">
        <v>29</v>
      </c>
    </row>
    <row r="363" spans="1:15" ht="16.2" hidden="1" customHeight="1">
      <c r="A363" s="30" t="str">
        <f t="shared" si="6"/>
        <v>modesg_out_bens_imoveisunidade_funcional_scp1_emss</v>
      </c>
      <c r="B363" s="142" t="s">
        <v>26</v>
      </c>
      <c r="C363" s="138" t="s">
        <v>311</v>
      </c>
      <c r="D363" s="134" t="s">
        <v>40</v>
      </c>
      <c r="E363" s="135" t="s">
        <v>312</v>
      </c>
      <c r="F363" s="134" t="s">
        <v>323</v>
      </c>
      <c r="G363" s="136" t="str">
        <f>VLOOKUP(A363,Plano_V3!$A$26:$G$592,7,0)</f>
        <v>1. Concluído</v>
      </c>
      <c r="H363" s="136" t="s">
        <v>613</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8"/>
      <c r="N363" s="208"/>
      <c r="O363" s="342" t="s">
        <v>29</v>
      </c>
    </row>
    <row r="364" spans="1:15" ht="16.2" hidden="1" customHeight="1">
      <c r="A364" s="30" t="str">
        <f t="shared" si="6"/>
        <v>modesg_out_bens_imoveisunidade_funcional_scp2_emss</v>
      </c>
      <c r="B364" s="142" t="s">
        <v>26</v>
      </c>
      <c r="C364" s="138" t="s">
        <v>311</v>
      </c>
      <c r="D364" s="134" t="s">
        <v>40</v>
      </c>
      <c r="E364" s="135" t="s">
        <v>312</v>
      </c>
      <c r="F364" s="134" t="s">
        <v>324</v>
      </c>
      <c r="G364" s="136" t="str">
        <f>VLOOKUP(A364,Plano_V3!$A$26:$G$592,7,0)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2" t="s">
        <v>29</v>
      </c>
    </row>
    <row r="365" spans="1:15" ht="16.2" hidden="1" customHeight="1">
      <c r="A365" s="30" t="str">
        <f t="shared" si="6"/>
        <v>modesg_out_bens_imoveisunidade_funcional_scp3_emss</v>
      </c>
      <c r="B365" s="142" t="s">
        <v>26</v>
      </c>
      <c r="C365" s="138" t="s">
        <v>311</v>
      </c>
      <c r="D365" s="134" t="s">
        <v>40</v>
      </c>
      <c r="E365" s="135" t="s">
        <v>312</v>
      </c>
      <c r="F365" s="134" t="s">
        <v>325</v>
      </c>
      <c r="G365" s="136" t="str">
        <f>VLOOKUP(A365,Plano_V3!$A$26:$G$592,7,0)</f>
        <v>1. Concluído</v>
      </c>
      <c r="H365" s="136" t="s">
        <v>613</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8"/>
      <c r="N365" s="208"/>
      <c r="O365" s="342" t="s">
        <v>29</v>
      </c>
    </row>
    <row r="366" spans="1:15" ht="16.2" hidden="1" customHeight="1">
      <c r="A366" s="30" t="str">
        <f t="shared" si="6"/>
        <v>modesg_out_empr_info_nfinn.a.</v>
      </c>
      <c r="B366" s="142" t="s">
        <v>26</v>
      </c>
      <c r="C366" s="138" t="s">
        <v>311</v>
      </c>
      <c r="D366" s="134" t="s">
        <v>36</v>
      </c>
      <c r="E366" s="135" t="s">
        <v>326</v>
      </c>
      <c r="F366" s="134" t="s">
        <v>38</v>
      </c>
      <c r="G366" s="136" t="str">
        <f>VLOOKUP(A366,Plano_V3!$A$26:$G$592,7,0)</f>
        <v>1. Concluído</v>
      </c>
      <c r="H366" s="136" t="s">
        <v>613</v>
      </c>
      <c r="I366" s="154"/>
      <c r="J366" s="153">
        <f>IF(VLOOKUP(A366,'Aux - pivots1'!$A:$E,3,0)=0, "",VLOOKUP(A366,'Aux - pivots1'!$A:$E,3,0))</f>
        <v>45512</v>
      </c>
      <c r="K366" s="153" t="str">
        <f>IF(VLOOKUP(A366,'Aux - pivots1'!$A:$E,4,0)=0, "",VLOOKUP(A366,'Aux - pivots1'!$A:$E,4,0))</f>
        <v/>
      </c>
      <c r="L366" s="153" t="str">
        <f>IF(VLOOKUP(A366,'Aux - pivots1'!$A:$E,5,0)=0, "",VLOOKUP(A366,'Aux - pivots1'!$A:$E,5,0))</f>
        <v/>
      </c>
      <c r="M366" s="208"/>
      <c r="N366" s="208"/>
      <c r="O366" s="342" t="s">
        <v>29</v>
      </c>
    </row>
    <row r="367" spans="1:15" ht="16.2" hidden="1" customHeight="1">
      <c r="A367" s="30" t="str">
        <f t="shared" si="6"/>
        <v>modesg_out_empr_info_nfincca_capex_enblng_algnd</v>
      </c>
      <c r="B367" s="142" t="s">
        <v>26</v>
      </c>
      <c r="C367" s="138" t="s">
        <v>311</v>
      </c>
      <c r="D367" s="134" t="s">
        <v>40</v>
      </c>
      <c r="E367" s="135" t="s">
        <v>326</v>
      </c>
      <c r="F367" s="134" t="s">
        <v>250</v>
      </c>
      <c r="G367" s="136" t="str">
        <f>VLOOKUP(A367,Plano_V3!$A$26:$G$592,7,0)</f>
        <v>1. Concluído</v>
      </c>
      <c r="H367" s="136" t="s">
        <v>613</v>
      </c>
      <c r="I367" s="154" t="s">
        <v>656</v>
      </c>
      <c r="J367" s="153">
        <f>IF(VLOOKUP(A367,'Aux - pivots1'!$A:$E,3,0)=0, "",VLOOKUP(A367,'Aux - pivots1'!$A:$E,3,0))</f>
        <v>45561</v>
      </c>
      <c r="K367" s="153">
        <f>IF(VLOOKUP(A367,'Aux - pivots1'!$A:$E,4,0)=0, "",VLOOKUP(A367,'Aux - pivots1'!$A:$E,4,0))</f>
        <v>45614</v>
      </c>
      <c r="L367" s="153">
        <f>IF(VLOOKUP(A367,'Aux - pivots1'!$A:$E,5,0)=0, "",VLOOKUP(A367,'Aux - pivots1'!$A:$E,5,0))</f>
        <v>45615</v>
      </c>
      <c r="M367" s="208"/>
      <c r="N367" s="208"/>
      <c r="O367" s="342" t="s">
        <v>29</v>
      </c>
    </row>
    <row r="368" spans="1:15" ht="16.2" hidden="1" customHeight="1">
      <c r="A368" s="30" t="str">
        <f t="shared" si="6"/>
        <v>modesg_out_empr_info_nfincca_capex_own_prfrmnce_algnd</v>
      </c>
      <c r="B368" s="142" t="s">
        <v>26</v>
      </c>
      <c r="C368" s="138" t="s">
        <v>311</v>
      </c>
      <c r="D368" s="134" t="s">
        <v>40</v>
      </c>
      <c r="E368" s="135" t="s">
        <v>326</v>
      </c>
      <c r="F368" s="134" t="s">
        <v>251</v>
      </c>
      <c r="G368" s="136" t="str">
        <f>VLOOKUP(A368,Plano_V3!$A$26:$G$592,7,0)</f>
        <v>1. Concluído</v>
      </c>
      <c r="H368" s="136" t="s">
        <v>613</v>
      </c>
      <c r="I368" s="154" t="s">
        <v>656</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2" t="s">
        <v>29</v>
      </c>
    </row>
    <row r="369" spans="1:15" ht="16.2" hidden="1" customHeight="1">
      <c r="A369" s="30" t="str">
        <f t="shared" si="6"/>
        <v>modesg_out_empr_info_nfincca_capex_ttl_elgbl</v>
      </c>
      <c r="B369" s="142" t="s">
        <v>26</v>
      </c>
      <c r="C369" s="138" t="s">
        <v>311</v>
      </c>
      <c r="D369" s="134" t="s">
        <v>40</v>
      </c>
      <c r="E369" s="135" t="s">
        <v>326</v>
      </c>
      <c r="F369" s="134" t="s">
        <v>249</v>
      </c>
      <c r="G369" s="136" t="str">
        <f>VLOOKUP(A369,Plano_V3!$A$26:$G$592,7,0)</f>
        <v>1. Concluído</v>
      </c>
      <c r="H369" s="136" t="s">
        <v>613</v>
      </c>
      <c r="I369" s="154" t="s">
        <v>656</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2" t="s">
        <v>29</v>
      </c>
    </row>
    <row r="370" spans="1:15" ht="16.2" hidden="1" customHeight="1">
      <c r="A370" s="30" t="str">
        <f t="shared" si="6"/>
        <v>modesg_out_empr_info_nfincca_trnvr_enblng_alignd</v>
      </c>
      <c r="B370" s="142" t="s">
        <v>26</v>
      </c>
      <c r="C370" s="138" t="s">
        <v>311</v>
      </c>
      <c r="D370" s="134" t="s">
        <v>40</v>
      </c>
      <c r="E370" s="135" t="s">
        <v>326</v>
      </c>
      <c r="F370" s="134" t="s">
        <v>247</v>
      </c>
      <c r="G370" s="136" t="str">
        <f>VLOOKUP(A370,Plano_V3!$A$26:$G$592,7,0)</f>
        <v>1. Concluído</v>
      </c>
      <c r="H370" s="136" t="s">
        <v>613</v>
      </c>
      <c r="I370" s="154" t="s">
        <v>656</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2" t="s">
        <v>29</v>
      </c>
    </row>
    <row r="371" spans="1:15" ht="16.2" hidden="1" customHeight="1">
      <c r="A371" s="30" t="str">
        <f t="shared" si="6"/>
        <v>modesg_out_empr_info_nfincca_trnvr_ttl_elgbl</v>
      </c>
      <c r="B371" s="142" t="s">
        <v>26</v>
      </c>
      <c r="C371" s="138" t="s">
        <v>311</v>
      </c>
      <c r="D371" s="134" t="s">
        <v>40</v>
      </c>
      <c r="E371" s="135" t="s">
        <v>326</v>
      </c>
      <c r="F371" s="134" t="s">
        <v>246</v>
      </c>
      <c r="G371" s="136" t="str">
        <f>VLOOKUP(A371,Plano_V3!$A$26:$G$592,7,0)</f>
        <v>1. Concluído</v>
      </c>
      <c r="H371" s="136" t="s">
        <v>613</v>
      </c>
      <c r="I371" s="154" t="s">
        <v>656</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2" t="s">
        <v>29</v>
      </c>
    </row>
    <row r="372" spans="1:15" ht="16.2" hidden="1" customHeight="1">
      <c r="A372" s="30" t="str">
        <f t="shared" si="6"/>
        <v>modesg_out_empr_info_nfincca_turnover_own_prfrmnce_algnd</v>
      </c>
      <c r="B372" s="142" t="s">
        <v>26</v>
      </c>
      <c r="C372" s="138" t="s">
        <v>311</v>
      </c>
      <c r="D372" s="134" t="s">
        <v>40</v>
      </c>
      <c r="E372" s="135" t="s">
        <v>326</v>
      </c>
      <c r="F372" s="134" t="s">
        <v>248</v>
      </c>
      <c r="G372" s="136" t="str">
        <f>VLOOKUP(A372,Plano_V3!$A$26:$G$592,7,0)</f>
        <v>1. Concluído</v>
      </c>
      <c r="H372" s="136" t="s">
        <v>613</v>
      </c>
      <c r="I372" s="154" t="s">
        <v>656</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2" t="s">
        <v>29</v>
      </c>
    </row>
    <row r="373" spans="1:15" ht="16.2" hidden="1" customHeight="1">
      <c r="A373" s="30" t="str">
        <f t="shared" si="6"/>
        <v>modesg_out_empr_info_nfinccm_capex_enblng_algnd</v>
      </c>
      <c r="B373" s="142" t="s">
        <v>26</v>
      </c>
      <c r="C373" s="138" t="s">
        <v>311</v>
      </c>
      <c r="D373" s="134" t="s">
        <v>40</v>
      </c>
      <c r="E373" s="135" t="s">
        <v>326</v>
      </c>
      <c r="F373" s="134" t="s">
        <v>257</v>
      </c>
      <c r="G373" s="136" t="str">
        <f>VLOOKUP(A373,Plano_V3!$A$26:$G$592,7,0)</f>
        <v>1. Concluído</v>
      </c>
      <c r="H373" s="136" t="s">
        <v>613</v>
      </c>
      <c r="I373" s="154" t="s">
        <v>656</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2" t="s">
        <v>29</v>
      </c>
    </row>
    <row r="374" spans="1:15" ht="16.2" hidden="1" customHeight="1">
      <c r="A374" s="30" t="str">
        <f t="shared" si="6"/>
        <v>modesg_out_empr_info_nfinccm_capex_own_prfrmnce_algnd</v>
      </c>
      <c r="B374" s="142" t="s">
        <v>26</v>
      </c>
      <c r="C374" s="138" t="s">
        <v>311</v>
      </c>
      <c r="D374" s="134" t="s">
        <v>40</v>
      </c>
      <c r="E374" s="135" t="s">
        <v>326</v>
      </c>
      <c r="F374" s="134" t="s">
        <v>259</v>
      </c>
      <c r="G374" s="136" t="str">
        <f>VLOOKUP(A374,Plano_V3!$A$26:$G$592,7,0)</f>
        <v>1. Concluído</v>
      </c>
      <c r="H374" s="136" t="s">
        <v>613</v>
      </c>
      <c r="I374" s="154" t="s">
        <v>656</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2" t="s">
        <v>29</v>
      </c>
    </row>
    <row r="375" spans="1:15" ht="16.2" hidden="1" customHeight="1">
      <c r="A375" s="30" t="str">
        <f t="shared" si="6"/>
        <v>modesg_out_empr_info_nfinccm_capex_trnstn_algnd</v>
      </c>
      <c r="B375" s="142" t="s">
        <v>26</v>
      </c>
      <c r="C375" s="138" t="s">
        <v>311</v>
      </c>
      <c r="D375" s="134" t="s">
        <v>40</v>
      </c>
      <c r="E375" s="135" t="s">
        <v>326</v>
      </c>
      <c r="F375" s="134" t="s">
        <v>258</v>
      </c>
      <c r="G375" s="136" t="str">
        <f>VLOOKUP(A375,Plano_V3!$A$26:$G$592,7,0)</f>
        <v>1. Concluído</v>
      </c>
      <c r="H375" s="136" t="s">
        <v>613</v>
      </c>
      <c r="I375" s="154" t="s">
        <v>656</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2" t="s">
        <v>29</v>
      </c>
    </row>
    <row r="376" spans="1:15" ht="16.2" hidden="1" customHeight="1">
      <c r="A376" s="30" t="str">
        <f t="shared" si="6"/>
        <v>modesg_out_empr_info_nfinccm_capex_ttl_elgbl</v>
      </c>
      <c r="B376" s="142" t="s">
        <v>26</v>
      </c>
      <c r="C376" s="138" t="s">
        <v>311</v>
      </c>
      <c r="D376" s="134" t="s">
        <v>40</v>
      </c>
      <c r="E376" s="135" t="s">
        <v>326</v>
      </c>
      <c r="F376" s="134" t="s">
        <v>256</v>
      </c>
      <c r="G376" s="136" t="str">
        <f>VLOOKUP(A376,Plano_V3!$A$26:$G$592,7,0)</f>
        <v>1. Concluído</v>
      </c>
      <c r="H376" s="136" t="s">
        <v>613</v>
      </c>
      <c r="I376" s="154" t="s">
        <v>656</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2" t="s">
        <v>29</v>
      </c>
    </row>
    <row r="377" spans="1:15" ht="16.2" hidden="1" customHeight="1">
      <c r="A377" s="30" t="str">
        <f t="shared" si="6"/>
        <v>modesg_out_empr_info_nfinccm_trnvr_enblng_algnd</v>
      </c>
      <c r="B377" s="142" t="s">
        <v>26</v>
      </c>
      <c r="C377" s="138" t="s">
        <v>311</v>
      </c>
      <c r="D377" s="134" t="s">
        <v>40</v>
      </c>
      <c r="E377" s="135" t="s">
        <v>326</v>
      </c>
      <c r="F377" s="134" t="s">
        <v>253</v>
      </c>
      <c r="G377" s="136" t="str">
        <f>VLOOKUP(A377,Plano_V3!$A$26:$G$592,7,0)</f>
        <v>1. Concluído</v>
      </c>
      <c r="H377" s="136" t="s">
        <v>613</v>
      </c>
      <c r="I377" s="154" t="s">
        <v>656</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2" t="s">
        <v>29</v>
      </c>
    </row>
    <row r="378" spans="1:15" ht="16.2" hidden="1" customHeight="1">
      <c r="A378" s="30" t="str">
        <f t="shared" si="6"/>
        <v>modesg_out_empr_info_nfinccm_trnvr_own_prfrmnce_algnd</v>
      </c>
      <c r="B378" s="142" t="s">
        <v>26</v>
      </c>
      <c r="C378" s="138" t="s">
        <v>311</v>
      </c>
      <c r="D378" s="134" t="s">
        <v>40</v>
      </c>
      <c r="E378" s="135" t="s">
        <v>326</v>
      </c>
      <c r="F378" s="134" t="s">
        <v>255</v>
      </c>
      <c r="G378" s="136" t="str">
        <f>VLOOKUP(A378,Plano_V3!$A$26:$G$592,7,0)</f>
        <v>1. Concluído</v>
      </c>
      <c r="H378" s="136" t="s">
        <v>613</v>
      </c>
      <c r="I378" s="154" t="s">
        <v>656</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2" t="s">
        <v>29</v>
      </c>
    </row>
    <row r="379" spans="1:15" ht="16.2" hidden="1" customHeight="1">
      <c r="A379" s="30" t="str">
        <f t="shared" si="6"/>
        <v>modesg_out_empr_info_nfinccm_trnvr_trnstn_alignd</v>
      </c>
      <c r="B379" s="142" t="s">
        <v>26</v>
      </c>
      <c r="C379" s="138" t="s">
        <v>311</v>
      </c>
      <c r="D379" s="134" t="s">
        <v>40</v>
      </c>
      <c r="E379" s="135" t="s">
        <v>326</v>
      </c>
      <c r="F379" s="134" t="s">
        <v>254</v>
      </c>
      <c r="G379" s="136" t="str">
        <f>VLOOKUP(A379,Plano_V3!$A$26:$G$592,7,0)</f>
        <v>1. Concluído</v>
      </c>
      <c r="H379" s="136" t="s">
        <v>613</v>
      </c>
      <c r="I379" s="154" t="s">
        <v>656</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2" t="s">
        <v>29</v>
      </c>
    </row>
    <row r="380" spans="1:15" ht="16.2" hidden="1" customHeight="1">
      <c r="A380" s="30" t="str">
        <f t="shared" si="6"/>
        <v>modesg_out_empr_info_nfinccm_trnvr_ttl_elgbl</v>
      </c>
      <c r="B380" s="142" t="s">
        <v>26</v>
      </c>
      <c r="C380" s="138" t="s">
        <v>311</v>
      </c>
      <c r="D380" s="134" t="s">
        <v>40</v>
      </c>
      <c r="E380" s="135" t="s">
        <v>326</v>
      </c>
      <c r="F380" s="134" t="s">
        <v>252</v>
      </c>
      <c r="G380" s="136" t="str">
        <f>VLOOKUP(A380,Plano_V3!$A$26:$G$592,7,0)</f>
        <v>1. Concluído</v>
      </c>
      <c r="H380" s="136" t="s">
        <v>613</v>
      </c>
      <c r="I380" s="154" t="s">
        <v>656</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2" t="s">
        <v>29</v>
      </c>
    </row>
    <row r="381" spans="1:15" ht="16.2" hidden="1" customHeight="1">
      <c r="A381" s="30" t="str">
        <f t="shared" si="6"/>
        <v>modesg_out_empr_info_nfincod_nace_esg</v>
      </c>
      <c r="B381" s="142" t="s">
        <v>26</v>
      </c>
      <c r="C381" s="138" t="s">
        <v>311</v>
      </c>
      <c r="D381" s="134" t="s">
        <v>40</v>
      </c>
      <c r="E381" s="135" t="s">
        <v>326</v>
      </c>
      <c r="F381" s="218" t="s">
        <v>282</v>
      </c>
      <c r="G381" s="219" t="str">
        <f>VLOOKUP(A381,Plano_V3!$A$26:$G$592,7,0)</f>
        <v>2.2 Em Re-especificação</v>
      </c>
      <c r="H381" s="136" t="s">
        <v>613</v>
      </c>
      <c r="I381" s="154" t="s">
        <v>656</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2" t="s">
        <v>29</v>
      </c>
    </row>
    <row r="382" spans="1:15" ht="16.2" hidden="1" customHeight="1">
      <c r="A382" s="30" t="str">
        <f t="shared" si="6"/>
        <v>modesg_out_empr_info_nfinflg_emprs_excl_paris</v>
      </c>
      <c r="B382" s="142" t="s">
        <v>26</v>
      </c>
      <c r="C382" s="138" t="s">
        <v>311</v>
      </c>
      <c r="D382" s="134" t="s">
        <v>40</v>
      </c>
      <c r="E382" s="135" t="s">
        <v>326</v>
      </c>
      <c r="F382" s="134" t="s">
        <v>328</v>
      </c>
      <c r="G382" s="136" t="str">
        <f>VLOOKUP(A382,Plano_V3!$A$26:$G$592,7,0)</f>
        <v>2.1 Em Teste</v>
      </c>
      <c r="H382" s="136" t="s">
        <v>618</v>
      </c>
      <c r="I382" s="154" t="s">
        <v>656</v>
      </c>
      <c r="J382" s="153">
        <f>IF(VLOOKUP(A382,'Aux - pivots1'!$A:$E,3,0)=0, "",VLOOKUP(A382,'Aux - pivots1'!$A:$E,3,0))</f>
        <v>45553</v>
      </c>
      <c r="K382" s="153">
        <f>IF(VLOOKUP(A382,'Aux - pivots1'!$A:$E,4,0)=0, "",VLOOKUP(A382,'Aux - pivots1'!$A:$E,4,0))</f>
        <v>45614</v>
      </c>
      <c r="L382" s="153">
        <f>IF(VLOOKUP(A382,'Aux - pivots1'!$A:$E,5,0)=0, "",VLOOKUP(A382,'Aux - pivots1'!$A:$E,5,0))</f>
        <v>45615</v>
      </c>
      <c r="M382" s="208"/>
      <c r="N382" s="208"/>
      <c r="O382" s="342" t="s">
        <v>29</v>
      </c>
    </row>
    <row r="383" spans="1:15" ht="16.2" hidden="1" customHeight="1">
      <c r="A383" s="30" t="str">
        <f t="shared" si="6"/>
        <v>modesg_out_empr_info_nfinflg_nfrd</v>
      </c>
      <c r="B383" s="142" t="s">
        <v>26</v>
      </c>
      <c r="C383" s="138" t="s">
        <v>311</v>
      </c>
      <c r="D383" s="134" t="s">
        <v>40</v>
      </c>
      <c r="E383" s="135" t="s">
        <v>326</v>
      </c>
      <c r="F383" s="134" t="s">
        <v>245</v>
      </c>
      <c r="G383" s="136" t="str">
        <f>VLOOKUP(A383,Plano_V3!$A$26:$G$592,7,0)</f>
        <v>2.1 Em Teste</v>
      </c>
      <c r="H383" s="136" t="s">
        <v>618</v>
      </c>
      <c r="I383" s="154" t="s">
        <v>656</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2" t="s">
        <v>29</v>
      </c>
    </row>
    <row r="384" spans="1:15" ht="16.2" hidden="1" customHeight="1">
      <c r="A384" s="30" t="str">
        <f t="shared" si="6"/>
        <v>modesg_out_empr_info_nfinflg_rsc_fsc_agd</v>
      </c>
      <c r="B384" s="142" t="s">
        <v>26</v>
      </c>
      <c r="C384" s="138" t="s">
        <v>311</v>
      </c>
      <c r="D384" s="134" t="s">
        <v>40</v>
      </c>
      <c r="E384" s="135" t="s">
        <v>326</v>
      </c>
      <c r="F384" s="134" t="s">
        <v>283</v>
      </c>
      <c r="G384" s="136" t="str">
        <f>VLOOKUP(A384,Plano_V3!$A$26:$G$592,7,0)</f>
        <v>1. Concluído</v>
      </c>
      <c r="H384" s="136" t="s">
        <v>613</v>
      </c>
      <c r="I384" s="154" t="s">
        <v>656</v>
      </c>
      <c r="J384" s="153">
        <f>IF(VLOOKUP(A384,'Aux - pivots1'!$A:$E,3,0)=0, "",VLOOKUP(A384,'Aux - pivots1'!$A:$E,3,0))</f>
        <v>45569</v>
      </c>
      <c r="K384" s="153">
        <f>IF(VLOOKUP(A384,'Aux - pivots1'!$A:$E,4,0)=0, "",VLOOKUP(A384,'Aux - pivots1'!$A:$E,4,0))</f>
        <v>45624</v>
      </c>
      <c r="L384" s="153">
        <f>IF(VLOOKUP(A384,'Aux - pivots1'!$A:$E,5,0)=0, "",VLOOKUP(A384,'Aux - pivots1'!$A:$E,5,0))</f>
        <v>45639</v>
      </c>
      <c r="M384" s="208"/>
      <c r="N384" s="208"/>
      <c r="O384" s="342" t="s">
        <v>29</v>
      </c>
    </row>
    <row r="385" spans="1:15" ht="16.2" hidden="1" customHeight="1">
      <c r="A385" s="30" t="str">
        <f t="shared" si="6"/>
        <v>modesg_out_empr_info_nfinflg_rsc_fsc_crnc</v>
      </c>
      <c r="B385" s="142" t="s">
        <v>26</v>
      </c>
      <c r="C385" s="138" t="s">
        <v>311</v>
      </c>
      <c r="D385" s="134" t="s">
        <v>40</v>
      </c>
      <c r="E385" s="135" t="s">
        <v>326</v>
      </c>
      <c r="F385" s="134" t="s">
        <v>284</v>
      </c>
      <c r="G385" s="136" t="str">
        <f>VLOOKUP(A385,Plano_V3!$A$26:$G$592,7,0)</f>
        <v>1. Concluído</v>
      </c>
      <c r="H385" s="136" t="s">
        <v>613</v>
      </c>
      <c r="I385" s="154" t="s">
        <v>656</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2" t="s">
        <v>29</v>
      </c>
    </row>
    <row r="386" spans="1:15" ht="16.2" hidden="1" customHeight="1">
      <c r="A386" s="30" t="str">
        <f t="shared" si="6"/>
        <v>modesg_out_empr_info_nfinorigem_alinhamentos</v>
      </c>
      <c r="B386" s="142" t="s">
        <v>26</v>
      </c>
      <c r="C386" s="138" t="s">
        <v>311</v>
      </c>
      <c r="D386" s="134" t="s">
        <v>40</v>
      </c>
      <c r="E386" s="135" t="s">
        <v>326</v>
      </c>
      <c r="F386" s="134" t="s">
        <v>329</v>
      </c>
      <c r="G386" s="136" t="str">
        <f>VLOOKUP(A386,Plano_V3!$A$26:$G$592,7,0)</f>
        <v>1. Concluído</v>
      </c>
      <c r="H386" s="136" t="s">
        <v>618</v>
      </c>
      <c r="I386" s="154" t="s">
        <v>656</v>
      </c>
      <c r="J386" s="153">
        <f>IF(VLOOKUP(A386,'Aux - pivots1'!$A:$E,3,0)=0, "",VLOOKUP(A386,'Aux - pivots1'!$A:$E,3,0))</f>
        <v>45569</v>
      </c>
      <c r="K386" s="153">
        <f>IF(VLOOKUP(A386,'Aux - pivots1'!$A:$E,4,0)=0, "",VLOOKUP(A386,'Aux - pivots1'!$A:$E,4,0))</f>
        <v>45614</v>
      </c>
      <c r="L386" s="153">
        <f>IF(VLOOKUP(A386,'Aux - pivots1'!$A:$E,5,0)=0, "",VLOOKUP(A386,'Aux - pivots1'!$A:$E,5,0))</f>
        <v>45615</v>
      </c>
      <c r="M386" s="208"/>
      <c r="N386" s="208"/>
      <c r="O386" s="342" t="s">
        <v>29</v>
      </c>
    </row>
    <row r="387" spans="1:15" ht="16.2" hidden="1" customHeight="1">
      <c r="A387" s="30" t="str">
        <f t="shared" si="6"/>
        <v>modesg_out_empr_info_nfinorigem_flg_emprs_excl_paris</v>
      </c>
      <c r="B387" s="142" t="s">
        <v>26</v>
      </c>
      <c r="C387" s="138" t="s">
        <v>311</v>
      </c>
      <c r="D387" s="134" t="s">
        <v>40</v>
      </c>
      <c r="E387" s="135" t="s">
        <v>326</v>
      </c>
      <c r="F387" s="134" t="s">
        <v>330</v>
      </c>
      <c r="G387" s="136" t="str">
        <f>VLOOKUP(A387,Plano_V3!$A$26:$G$592,7,0)</f>
        <v>2.1 Em Teste</v>
      </c>
      <c r="H387" s="136" t="s">
        <v>618</v>
      </c>
      <c r="I387" s="154" t="s">
        <v>656</v>
      </c>
      <c r="J387" s="153">
        <f>IF(VLOOKUP(A387,'Aux - pivots1'!$A:$E,3,0)=0, "",VLOOKUP(A387,'Aux - pivots1'!$A:$E,3,0))</f>
        <v>45553</v>
      </c>
      <c r="K387" s="153">
        <f>IF(VLOOKUP(A387,'Aux - pivots1'!$A:$E,4,0)=0, "",VLOOKUP(A387,'Aux - pivots1'!$A:$E,4,0))</f>
        <v>45614</v>
      </c>
      <c r="L387" s="153">
        <f>IF(VLOOKUP(A387,'Aux - pivots1'!$A:$E,5,0)=0, "",VLOOKUP(A387,'Aux - pivots1'!$A:$E,5,0))</f>
        <v>45615</v>
      </c>
      <c r="M387" s="208"/>
      <c r="N387" s="208"/>
      <c r="O387" s="342" t="s">
        <v>29</v>
      </c>
    </row>
    <row r="388" spans="1:15" ht="16.2" hidden="1" customHeight="1">
      <c r="A388" s="30" t="str">
        <f t="shared" si="6"/>
        <v>modesg_out_empr_info_nfinorigem_flg_nfrd</v>
      </c>
      <c r="B388" s="142" t="s">
        <v>26</v>
      </c>
      <c r="C388" s="138" t="s">
        <v>311</v>
      </c>
      <c r="D388" s="134" t="s">
        <v>40</v>
      </c>
      <c r="E388" s="135" t="s">
        <v>326</v>
      </c>
      <c r="F388" s="134" t="s">
        <v>331</v>
      </c>
      <c r="G388" s="136" t="str">
        <f>VLOOKUP(A388,Plano_V3!$A$26:$G$592,7,0)</f>
        <v>1. Concluído</v>
      </c>
      <c r="H388" s="136" t="s">
        <v>618</v>
      </c>
      <c r="I388" s="154" t="s">
        <v>656</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2" t="s">
        <v>29</v>
      </c>
    </row>
    <row r="389" spans="1:15" ht="16.2" hidden="1" customHeight="1">
      <c r="A389" s="30" t="str">
        <f t="shared" si="6"/>
        <v>modesg_out_empr_info_nfinorigem_flg_rsc_fsc_agd</v>
      </c>
      <c r="B389" s="142" t="s">
        <v>26</v>
      </c>
      <c r="C389" s="138" t="s">
        <v>311</v>
      </c>
      <c r="D389" s="134" t="s">
        <v>40</v>
      </c>
      <c r="E389" s="135" t="s">
        <v>326</v>
      </c>
      <c r="F389" s="134" t="s">
        <v>318</v>
      </c>
      <c r="G389" s="136" t="str">
        <f>VLOOKUP(A389,Plano_V3!$A$26:$G$592,7,0)</f>
        <v>1. Concluído</v>
      </c>
      <c r="H389" s="136" t="s">
        <v>613</v>
      </c>
      <c r="I389" s="154" t="s">
        <v>656</v>
      </c>
      <c r="J389" s="153">
        <f>IF(VLOOKUP(A389,'Aux - pivots1'!$A:$E,3,0)=0, "",VLOOKUP(A389,'Aux - pivots1'!$A:$E,3,0))</f>
        <v>45569</v>
      </c>
      <c r="K389" s="153">
        <f>IF(VLOOKUP(A389,'Aux - pivots1'!$A:$E,4,0)=0, "",VLOOKUP(A389,'Aux - pivots1'!$A:$E,4,0))</f>
        <v>45624</v>
      </c>
      <c r="L389" s="153">
        <f>IF(VLOOKUP(A389,'Aux - pivots1'!$A:$E,5,0)=0, "",VLOOKUP(A389,'Aux - pivots1'!$A:$E,5,0))</f>
        <v>45639</v>
      </c>
      <c r="M389" s="208"/>
      <c r="N389" s="208"/>
      <c r="O389" s="342" t="s">
        <v>29</v>
      </c>
    </row>
    <row r="390" spans="1:15" ht="16.2" hidden="1" customHeight="1">
      <c r="A390" s="30" t="str">
        <f t="shared" si="6"/>
        <v>modesg_out_empr_info_nfinorigem_flg_rsc_fsc_crnc</v>
      </c>
      <c r="B390" s="142" t="s">
        <v>26</v>
      </c>
      <c r="C390" s="138" t="s">
        <v>311</v>
      </c>
      <c r="D390" s="134" t="s">
        <v>40</v>
      </c>
      <c r="E390" s="135" t="s">
        <v>326</v>
      </c>
      <c r="F390" s="134" t="s">
        <v>319</v>
      </c>
      <c r="G390" s="136" t="str">
        <f>VLOOKUP(A390,Plano_V3!$A$26:$G$592,7,0)</f>
        <v>1. Concluído</v>
      </c>
      <c r="H390" s="136" t="s">
        <v>613</v>
      </c>
      <c r="I390" s="154" t="s">
        <v>656</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2" t="s">
        <v>29</v>
      </c>
    </row>
    <row r="391" spans="1:15" ht="16.2" hidden="1" customHeight="1">
      <c r="A391" s="30" t="str">
        <f t="shared" si="6"/>
        <v>modesg_out_empr_info_nfinorigem_scp1_emss</v>
      </c>
      <c r="B391" s="142" t="s">
        <v>26</v>
      </c>
      <c r="C391" s="138" t="s">
        <v>311</v>
      </c>
      <c r="D391" s="134" t="s">
        <v>40</v>
      </c>
      <c r="E391" s="135" t="s">
        <v>326</v>
      </c>
      <c r="F391" s="134" t="s">
        <v>320</v>
      </c>
      <c r="G391" s="136" t="str">
        <f>VLOOKUP(A391,Plano_V3!$A$26:$G$592,7,0)</f>
        <v>6. Em implementação (re-especificação)</v>
      </c>
      <c r="H391" s="136" t="s">
        <v>613</v>
      </c>
      <c r="I391" s="154" t="s">
        <v>657</v>
      </c>
      <c r="J391" s="153">
        <f>IF(VLOOKUP(A391,'Aux - pivots1'!$A:$E,3,0)=0, "",VLOOKUP(A391,'Aux - pivots1'!$A:$E,3,0))</f>
        <v>45569</v>
      </c>
      <c r="K391" s="153">
        <f>IF(VLOOKUP(A391,'Aux - pivots1'!$A:$E,4,0)=0, "",VLOOKUP(A391,'Aux - pivots1'!$A:$E,4,0))</f>
        <v>45621</v>
      </c>
      <c r="L391" s="153">
        <f>IF(VLOOKUP(A391,'Aux - pivots1'!$A:$E,5,0)=0, "",VLOOKUP(A391,'Aux - pivots1'!$A:$E,5,0))</f>
        <v>45622</v>
      </c>
      <c r="M391" s="208"/>
      <c r="N391" s="208"/>
      <c r="O391" s="342" t="s">
        <v>29</v>
      </c>
    </row>
    <row r="392" spans="1:15" ht="16.2" hidden="1" customHeight="1">
      <c r="A392" s="30" t="str">
        <f t="shared" si="6"/>
        <v>modesg_out_empr_info_nfinorigem_scp2_emss</v>
      </c>
      <c r="B392" s="142" t="s">
        <v>26</v>
      </c>
      <c r="C392" s="138" t="s">
        <v>311</v>
      </c>
      <c r="D392" s="134" t="s">
        <v>40</v>
      </c>
      <c r="E392" s="135" t="s">
        <v>326</v>
      </c>
      <c r="F392" s="134" t="s">
        <v>321</v>
      </c>
      <c r="G392" s="136" t="str">
        <f>VLOOKUP(A392,Plano_V3!$A$26:$G$592,7,0)</f>
        <v>6. Em implementação (re-especificação)</v>
      </c>
      <c r="H392" s="136" t="s">
        <v>613</v>
      </c>
      <c r="I392" s="154" t="s">
        <v>657</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2" t="s">
        <v>29</v>
      </c>
    </row>
    <row r="393" spans="1:15" ht="16.2" hidden="1" customHeight="1">
      <c r="A393" s="30" t="str">
        <f t="shared" si="6"/>
        <v>modesg_out_empr_info_nfinorigem_scp3_emss</v>
      </c>
      <c r="B393" s="142" t="s">
        <v>26</v>
      </c>
      <c r="C393" s="138" t="s">
        <v>311</v>
      </c>
      <c r="D393" s="134" t="s">
        <v>40</v>
      </c>
      <c r="E393" s="135" t="s">
        <v>326</v>
      </c>
      <c r="F393" s="134" t="s">
        <v>322</v>
      </c>
      <c r="G393" s="136" t="str">
        <f>VLOOKUP(A393,Plano_V3!$A$26:$G$592,7,0)</f>
        <v>6. Em implementação (re-especificação)</v>
      </c>
      <c r="H393" s="136" t="s">
        <v>613</v>
      </c>
      <c r="I393" s="154" t="s">
        <v>657</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2" t="s">
        <v>29</v>
      </c>
    </row>
    <row r="394" spans="1:15" ht="16.2" hidden="1" customHeight="1">
      <c r="A394" s="30" t="str">
        <f t="shared" si="6"/>
        <v>modesg_out_empr_info_nfinref_date</v>
      </c>
      <c r="B394" s="142" t="s">
        <v>26</v>
      </c>
      <c r="C394" s="138" t="s">
        <v>311</v>
      </c>
      <c r="D394" s="134" t="s">
        <v>40</v>
      </c>
      <c r="E394" s="135" t="s">
        <v>326</v>
      </c>
      <c r="F394" s="134" t="s">
        <v>208</v>
      </c>
      <c r="G394" s="136" t="str">
        <f>VLOOKUP(A394,Plano_V3!$A$26:$G$592,7,0)</f>
        <v>1. Concluído</v>
      </c>
      <c r="H394" s="136" t="s">
        <v>613</v>
      </c>
      <c r="I394" s="154"/>
      <c r="J394" s="153" t="str">
        <f>IF(VLOOKUP(A394,'Aux - pivots1'!$A:$E,3,0)=0, "",VLOOKUP(A394,'Aux - pivots1'!$A:$E,3,0))</f>
        <v/>
      </c>
      <c r="K394" s="153" t="str">
        <f>IF(VLOOKUP(A394,'Aux - pivots1'!$A:$E,4,0)=0, "",VLOOKUP(A394,'Aux - pivots1'!$A:$E,4,0))</f>
        <v/>
      </c>
      <c r="L394" s="153" t="str">
        <f>IF(VLOOKUP(A394,'Aux - pivots1'!$A:$E,5,0)=0, "",VLOOKUP(A394,'Aux - pivots1'!$A:$E,5,0))</f>
        <v/>
      </c>
      <c r="M394" s="208"/>
      <c r="N394" s="208"/>
      <c r="O394" s="342" t="s">
        <v>29</v>
      </c>
    </row>
    <row r="395" spans="1:15" ht="16.2" hidden="1" customHeight="1">
      <c r="A395" s="30" t="str">
        <f t="shared" si="6"/>
        <v>modesg_out_empr_info_nfinscp1_emss</v>
      </c>
      <c r="B395" s="142" t="s">
        <v>26</v>
      </c>
      <c r="C395" s="138" t="s">
        <v>311</v>
      </c>
      <c r="D395" s="134" t="s">
        <v>40</v>
      </c>
      <c r="E395" s="135" t="s">
        <v>326</v>
      </c>
      <c r="F395" s="134" t="s">
        <v>286</v>
      </c>
      <c r="G395" s="136" t="str">
        <f>VLOOKUP(A395,Plano_V3!$A$26:$G$592,7,0)</f>
        <v>6. Em implementação (re-especificação)</v>
      </c>
      <c r="H395" s="136" t="s">
        <v>613</v>
      </c>
      <c r="I395" s="154" t="s">
        <v>657</v>
      </c>
      <c r="J395" s="153">
        <f>IF(VLOOKUP(A395,'Aux - pivots1'!$A:$E,3,0)=0, "",VLOOKUP(A395,'Aux - pivots1'!$A:$E,3,0))</f>
        <v>45569</v>
      </c>
      <c r="K395" s="153">
        <f>IF(VLOOKUP(A395,'Aux - pivots1'!$A:$E,4,0)=0, "",VLOOKUP(A395,'Aux - pivots1'!$A:$E,4,0))</f>
        <v>45621</v>
      </c>
      <c r="L395" s="153">
        <f>IF(VLOOKUP(A395,'Aux - pivots1'!$A:$E,5,0)=0, "",VLOOKUP(A395,'Aux - pivots1'!$A:$E,5,0))</f>
        <v>45622</v>
      </c>
      <c r="M395" s="208"/>
      <c r="N395" s="208"/>
      <c r="O395" s="342" t="s">
        <v>29</v>
      </c>
    </row>
    <row r="396" spans="1:15" ht="16.2" hidden="1" customHeight="1">
      <c r="A396" s="30" t="str">
        <f t="shared" si="6"/>
        <v>modesg_out_empr_info_nfinscp2_emss</v>
      </c>
      <c r="B396" s="142" t="s">
        <v>26</v>
      </c>
      <c r="C396" s="138" t="s">
        <v>311</v>
      </c>
      <c r="D396" s="134" t="s">
        <v>40</v>
      </c>
      <c r="E396" s="135" t="s">
        <v>326</v>
      </c>
      <c r="F396" s="134" t="s">
        <v>287</v>
      </c>
      <c r="G396" s="136" t="str">
        <f>VLOOKUP(A396,Plano_V3!$A$26:$G$592,7,0)</f>
        <v>6. Em implementação (re-especificação)</v>
      </c>
      <c r="H396" s="136" t="s">
        <v>613</v>
      </c>
      <c r="I396" s="154" t="s">
        <v>657</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2" t="s">
        <v>29</v>
      </c>
    </row>
    <row r="397" spans="1:15" ht="16.2" hidden="1" customHeight="1">
      <c r="A397" s="30" t="str">
        <f t="shared" si="6"/>
        <v>modesg_out_empr_info_nfinscp3_emss</v>
      </c>
      <c r="B397" s="142" t="s">
        <v>26</v>
      </c>
      <c r="C397" s="138" t="s">
        <v>311</v>
      </c>
      <c r="D397" s="134" t="s">
        <v>40</v>
      </c>
      <c r="E397" s="135" t="s">
        <v>326</v>
      </c>
      <c r="F397" s="134" t="s">
        <v>288</v>
      </c>
      <c r="G397" s="136" t="str">
        <f>VLOOKUP(A397,Plano_V3!$A$26:$G$592,7,0)</f>
        <v>6. Em implementação (re-especificação)</v>
      </c>
      <c r="H397" s="136" t="s">
        <v>613</v>
      </c>
      <c r="I397" s="154" t="s">
        <v>657</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2" t="s">
        <v>29</v>
      </c>
    </row>
    <row r="398" spans="1:15" ht="16.2" hidden="1" customHeight="1">
      <c r="A398" s="30" t="str">
        <f t="shared" si="6"/>
        <v>modesg_out_empr_info_nfinzcliente</v>
      </c>
      <c r="B398" s="142" t="s">
        <v>26</v>
      </c>
      <c r="C398" s="138" t="s">
        <v>311</v>
      </c>
      <c r="D398" s="134" t="s">
        <v>40</v>
      </c>
      <c r="E398" s="135" t="s">
        <v>326</v>
      </c>
      <c r="F398" s="134" t="s">
        <v>209</v>
      </c>
      <c r="G398" s="136" t="str">
        <f>VLOOKUP(A398,Plano_V3!$A$26:$G$592,7,0)</f>
        <v>1. Concluído</v>
      </c>
      <c r="H398" s="136" t="s">
        <v>613</v>
      </c>
      <c r="I398" s="154"/>
      <c r="J398" s="153" t="str">
        <f>IF(VLOOKUP(A398,'Aux - pivots1'!$A:$E,3,0)=0, "",VLOOKUP(A398,'Aux - pivots1'!$A:$E,3,0))</f>
        <v/>
      </c>
      <c r="K398" s="153" t="str">
        <f>IF(VLOOKUP(A398,'Aux - pivots1'!$A:$E,4,0)=0, "",VLOOKUP(A398,'Aux - pivots1'!$A:$E,4,0))</f>
        <v/>
      </c>
      <c r="L398" s="153" t="str">
        <f>IF(VLOOKUP(A398,'Aux - pivots1'!$A:$E,5,0)=0, "",VLOOKUP(A398,'Aux - pivots1'!$A:$E,5,0))</f>
        <v/>
      </c>
      <c r="M398" s="208"/>
      <c r="N398" s="208"/>
      <c r="O398" s="342" t="s">
        <v>29</v>
      </c>
    </row>
    <row r="399" spans="1:15" ht="16.2" hidden="1" customHeight="1">
      <c r="A399" s="30" t="str">
        <f t="shared" si="6"/>
        <v>modesg_out_emss_vclsn.a.</v>
      </c>
      <c r="B399" s="142" t="s">
        <v>26</v>
      </c>
      <c r="C399" s="138" t="s">
        <v>311</v>
      </c>
      <c r="D399" s="134" t="s">
        <v>36</v>
      </c>
      <c r="E399" s="135" t="s">
        <v>332</v>
      </c>
      <c r="F399" s="134" t="s">
        <v>38</v>
      </c>
      <c r="G399" s="136" t="str">
        <f>VLOOKUP(A399,Plano_V3!$A$26:$G$592,7,0)</f>
        <v>1. Concluído</v>
      </c>
      <c r="H399" s="136" t="s">
        <v>613</v>
      </c>
      <c r="I399" s="143" t="s">
        <v>658</v>
      </c>
      <c r="J399" s="153">
        <f>IF(VLOOKUP(A399,'Aux - pivots1'!$A:$E,3,0)=0, "",VLOOKUP(A399,'Aux - pivots1'!$A:$E,3,0))</f>
        <v>45560</v>
      </c>
      <c r="K399" s="153">
        <f>IF(VLOOKUP(A399,'Aux - pivots1'!$A:$E,4,0)=0, "",VLOOKUP(A399,'Aux - pivots1'!$A:$E,4,0))</f>
        <v>45607</v>
      </c>
      <c r="L399" s="153">
        <f>IF(VLOOKUP(A399,'Aux - pivots1'!$A:$E,5,0)=0, "",VLOOKUP(A399,'Aux - pivots1'!$A:$E,5,0))</f>
        <v>45608</v>
      </c>
      <c r="M399" s="208"/>
      <c r="N399" s="208"/>
      <c r="O399" s="342" t="s">
        <v>29</v>
      </c>
    </row>
    <row r="400" spans="1:15" ht="16.2" hidden="1" customHeight="1">
      <c r="A400" s="30" t="str">
        <f t="shared" si="6"/>
        <v>modesg_out_emss_vclscempbem</v>
      </c>
      <c r="B400" s="142" t="s">
        <v>26</v>
      </c>
      <c r="C400" s="138" t="s">
        <v>311</v>
      </c>
      <c r="D400" s="134" t="s">
        <v>40</v>
      </c>
      <c r="E400" s="135" t="s">
        <v>332</v>
      </c>
      <c r="F400" s="134" t="s">
        <v>314</v>
      </c>
      <c r="G400" s="136" t="str">
        <f>VLOOKUP(A400,Plano_V3!$A$26:$G$592,7,0)</f>
        <v>1. Concluído</v>
      </c>
      <c r="H400" s="136" t="s">
        <v>613</v>
      </c>
      <c r="I400" s="154"/>
      <c r="J400" s="153" t="str">
        <f>IF(VLOOKUP(A400,'Aux - pivots1'!$A:$E,3,0)=0, "",VLOOKUP(A400,'Aux - pivots1'!$A:$E,3,0))</f>
        <v/>
      </c>
      <c r="K400" s="153" t="str">
        <f>IF(VLOOKUP(A400,'Aux - pivots1'!$A:$E,4,0)=0, "",VLOOKUP(A400,'Aux - pivots1'!$A:$E,4,0))</f>
        <v/>
      </c>
      <c r="L400" s="153" t="str">
        <f>IF(VLOOKUP(A400,'Aux - pivots1'!$A:$E,5,0)=0, "",VLOOKUP(A400,'Aux - pivots1'!$A:$E,5,0))</f>
        <v/>
      </c>
      <c r="M400" s="208"/>
      <c r="N400" s="208"/>
      <c r="O400" s="342" t="s">
        <v>29</v>
      </c>
    </row>
    <row r="401" spans="1:15" ht="16.2" hidden="1" customHeight="1">
      <c r="A401" s="30" t="str">
        <f t="shared" si="6"/>
        <v>modesg_out_emss_vclsckbalbem</v>
      </c>
      <c r="B401" s="142" t="s">
        <v>26</v>
      </c>
      <c r="C401" s="138" t="s">
        <v>311</v>
      </c>
      <c r="D401" s="134" t="s">
        <v>40</v>
      </c>
      <c r="E401" s="135" t="s">
        <v>332</v>
      </c>
      <c r="F401" s="134" t="s">
        <v>315</v>
      </c>
      <c r="G401" s="136" t="str">
        <f>VLOOKUP(A401,Plano_V3!$A$26:$G$592,7,0)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2" t="s">
        <v>29</v>
      </c>
    </row>
    <row r="402" spans="1:15" ht="16.2" hidden="1" customHeight="1">
      <c r="A402" s="30" t="str">
        <f t="shared" si="6"/>
        <v>modesg_out_emss_vclsckctabem</v>
      </c>
      <c r="B402" s="142" t="s">
        <v>26</v>
      </c>
      <c r="C402" s="138" t="s">
        <v>311</v>
      </c>
      <c r="D402" s="134" t="s">
        <v>40</v>
      </c>
      <c r="E402" s="135" t="s">
        <v>332</v>
      </c>
      <c r="F402" s="134" t="s">
        <v>316</v>
      </c>
      <c r="G402" s="136" t="str">
        <f>VLOOKUP(A402,Plano_V3!$A$26:$G$592,7,0)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2" t="s">
        <v>29</v>
      </c>
    </row>
    <row r="403" spans="1:15" ht="16.2" hidden="1" customHeight="1">
      <c r="A403" s="30" t="str">
        <f t="shared" ref="A403:A466" si="7">E403&amp;F403</f>
        <v>modesg_out_emss_vclsckrefbem</v>
      </c>
      <c r="B403" s="142" t="s">
        <v>26</v>
      </c>
      <c r="C403" s="138" t="s">
        <v>311</v>
      </c>
      <c r="D403" s="134" t="s">
        <v>40</v>
      </c>
      <c r="E403" s="135" t="s">
        <v>332</v>
      </c>
      <c r="F403" s="134" t="s">
        <v>317</v>
      </c>
      <c r="G403" s="136" t="str">
        <f>VLOOKUP(A403,Plano_V3!$A$26:$G$592,7,0)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2" t="s">
        <v>29</v>
      </c>
    </row>
    <row r="404" spans="1:15" ht="16.2" hidden="1" customHeight="1">
      <c r="A404" s="30" t="str">
        <f t="shared" si="7"/>
        <v>modesg_out_emss_vclscnsm_co2</v>
      </c>
      <c r="B404" s="142" t="s">
        <v>26</v>
      </c>
      <c r="C404" s="138" t="s">
        <v>311</v>
      </c>
      <c r="D404" s="134" t="s">
        <v>40</v>
      </c>
      <c r="E404" s="135" t="s">
        <v>332</v>
      </c>
      <c r="F404" s="134" t="s">
        <v>188</v>
      </c>
      <c r="G404" s="136" t="str">
        <f>VLOOKUP(A404,Plano_V3!$A$26:$G$592,7,0)</f>
        <v>1. Concluído</v>
      </c>
      <c r="H404" s="136" t="s">
        <v>613</v>
      </c>
      <c r="I404" s="143" t="s">
        <v>658</v>
      </c>
      <c r="J404" s="153">
        <f>IF(VLOOKUP(A404,'Aux - pivots1'!$A:$E,3,0)=0, "",VLOOKUP(A404,'Aux - pivots1'!$A:$E,3,0))</f>
        <v>45559</v>
      </c>
      <c r="K404" s="153">
        <f>IF(VLOOKUP(A404,'Aux - pivots1'!$A:$E,4,0)=0, "",VLOOKUP(A404,'Aux - pivots1'!$A:$E,4,0))</f>
        <v>45607</v>
      </c>
      <c r="L404" s="153">
        <f>IF(VLOOKUP(A404,'Aux - pivots1'!$A:$E,5,0)=0, "",VLOOKUP(A404,'Aux - pivots1'!$A:$E,5,0))</f>
        <v>45608</v>
      </c>
      <c r="M404" s="208"/>
      <c r="N404" s="208"/>
      <c r="O404" s="342" t="s">
        <v>29</v>
      </c>
    </row>
    <row r="405" spans="1:15" ht="16.2" hidden="1" customHeight="1">
      <c r="A405" s="30" t="str">
        <f t="shared" si="7"/>
        <v>modesg_out_emss_vclsorigem_scp1_emss</v>
      </c>
      <c r="B405" s="142" t="s">
        <v>26</v>
      </c>
      <c r="C405" s="138" t="s">
        <v>311</v>
      </c>
      <c r="D405" s="134" t="s">
        <v>40</v>
      </c>
      <c r="E405" s="135" t="s">
        <v>332</v>
      </c>
      <c r="F405" s="134" t="s">
        <v>320</v>
      </c>
      <c r="G405" s="136" t="str">
        <f>VLOOKUP(A405,Plano_V3!$A$26:$G$592,7,0)</f>
        <v>1. Concluído</v>
      </c>
      <c r="H405" s="136" t="s">
        <v>613</v>
      </c>
      <c r="I405" s="143" t="s">
        <v>658</v>
      </c>
      <c r="J405" s="153">
        <f>IF(VLOOKUP(A405,'Aux - pivots1'!$A:$E,3,0)=0, "",VLOOKUP(A405,'Aux - pivots1'!$A:$E,3,0))</f>
        <v>45621</v>
      </c>
      <c r="K405" s="153">
        <f>IF(VLOOKUP(A405,'Aux - pivots1'!$A:$E,4,0)=0, "",VLOOKUP(A405,'Aux - pivots1'!$A:$E,4,0))</f>
        <v>45607</v>
      </c>
      <c r="L405" s="153">
        <f>IF(VLOOKUP(A405,'Aux - pivots1'!$A:$E,5,0)=0, "",VLOOKUP(A405,'Aux - pivots1'!$A:$E,5,0))</f>
        <v>45608</v>
      </c>
      <c r="M405" s="208"/>
      <c r="N405" s="208"/>
      <c r="O405" s="342" t="s">
        <v>29</v>
      </c>
    </row>
    <row r="406" spans="1:15" ht="16.2" hidden="1" customHeight="1">
      <c r="A406" s="30" t="str">
        <f t="shared" si="7"/>
        <v>modesg_out_emss_vclsorigem_scp2_emss</v>
      </c>
      <c r="B406" s="142" t="s">
        <v>26</v>
      </c>
      <c r="C406" s="138" t="s">
        <v>311</v>
      </c>
      <c r="D406" s="134" t="s">
        <v>40</v>
      </c>
      <c r="E406" s="135" t="s">
        <v>332</v>
      </c>
      <c r="F406" s="134" t="s">
        <v>321</v>
      </c>
      <c r="G406" s="136" t="str">
        <f>VLOOKUP(A406,Plano_V3!$A$26:$G$592,7,0)</f>
        <v>1. Concluído</v>
      </c>
      <c r="H406" s="136" t="s">
        <v>613</v>
      </c>
      <c r="I406" s="143" t="s">
        <v>658</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2" t="s">
        <v>29</v>
      </c>
    </row>
    <row r="407" spans="1:15" ht="16.2" hidden="1" customHeight="1">
      <c r="A407" s="30" t="str">
        <f t="shared" si="7"/>
        <v>modesg_out_emss_vclsorigem_scp3_emss</v>
      </c>
      <c r="B407" s="142" t="s">
        <v>26</v>
      </c>
      <c r="C407" s="138" t="s">
        <v>311</v>
      </c>
      <c r="D407" s="134" t="s">
        <v>40</v>
      </c>
      <c r="E407" s="135" t="s">
        <v>332</v>
      </c>
      <c r="F407" s="134" t="s">
        <v>322</v>
      </c>
      <c r="G407" s="136" t="str">
        <f>VLOOKUP(A407,Plano_V3!$A$26:$G$592,7,0)</f>
        <v>1. Concluído</v>
      </c>
      <c r="H407" s="136" t="s">
        <v>613</v>
      </c>
      <c r="I407" s="143" t="s">
        <v>658</v>
      </c>
      <c r="J407" s="153">
        <f>IF(VLOOKUP(A407,'Aux - pivots1'!$A:$E,3,0)=0, "",VLOOKUP(A407,'Aux - pivots1'!$A:$E,3,0))</f>
        <v>45569</v>
      </c>
      <c r="K407" s="153">
        <f>IF(VLOOKUP(A407,'Aux - pivots1'!$A:$E,4,0)=0, "",VLOOKUP(A407,'Aux - pivots1'!$A:$E,4,0))</f>
        <v>45607</v>
      </c>
      <c r="L407" s="153">
        <f>IF(VLOOKUP(A407,'Aux - pivots1'!$A:$E,5,0)=0, "",VLOOKUP(A407,'Aux - pivots1'!$A:$E,5,0))</f>
        <v>45608</v>
      </c>
      <c r="M407" s="208"/>
      <c r="N407" s="208"/>
      <c r="O407" s="342" t="s">
        <v>29</v>
      </c>
    </row>
    <row r="408" spans="1:15" ht="16.2" hidden="1" customHeight="1">
      <c r="A408" s="30" t="str">
        <f t="shared" si="7"/>
        <v>modesg_out_emss_vclsref_date</v>
      </c>
      <c r="B408" s="142" t="s">
        <v>26</v>
      </c>
      <c r="C408" s="138" t="s">
        <v>311</v>
      </c>
      <c r="D408" s="134" t="s">
        <v>40</v>
      </c>
      <c r="E408" s="135" t="s">
        <v>332</v>
      </c>
      <c r="F408" s="134" t="s">
        <v>208</v>
      </c>
      <c r="G408" s="136" t="str">
        <f>VLOOKUP(A408,Plano_V3!$A$26:$G$592,7,0)</f>
        <v>1. Concluído</v>
      </c>
      <c r="H408" s="136" t="s">
        <v>613</v>
      </c>
      <c r="I408" s="154"/>
      <c r="J408" s="153" t="str">
        <f>IF(VLOOKUP(A408,'Aux - pivots1'!$A:$E,3,0)=0, "",VLOOKUP(A408,'Aux - pivots1'!$A:$E,3,0))</f>
        <v/>
      </c>
      <c r="K408" s="153" t="str">
        <f>IF(VLOOKUP(A408,'Aux - pivots1'!$A:$E,4,0)=0, "",VLOOKUP(A408,'Aux - pivots1'!$A:$E,4,0))</f>
        <v/>
      </c>
      <c r="L408" s="153" t="str">
        <f>IF(VLOOKUP(A408,'Aux - pivots1'!$A:$E,5,0)=0, "",VLOOKUP(A408,'Aux - pivots1'!$A:$E,5,0))</f>
        <v/>
      </c>
      <c r="M408" s="208"/>
      <c r="N408" s="208"/>
      <c r="O408" s="342" t="s">
        <v>29</v>
      </c>
    </row>
    <row r="409" spans="1:15" ht="16.2" hidden="1" customHeight="1">
      <c r="A409" s="30" t="str">
        <f t="shared" si="7"/>
        <v>modesg_out_emss_vclsscp1_emss</v>
      </c>
      <c r="B409" s="142" t="s">
        <v>26</v>
      </c>
      <c r="C409" s="138" t="s">
        <v>311</v>
      </c>
      <c r="D409" s="134" t="s">
        <v>40</v>
      </c>
      <c r="E409" s="135" t="s">
        <v>332</v>
      </c>
      <c r="F409" s="134" t="s">
        <v>286</v>
      </c>
      <c r="G409" s="136" t="str">
        <f>VLOOKUP(A409,Plano_V3!$A$26:$G$592,7,0)</f>
        <v>1. Concluído</v>
      </c>
      <c r="H409" s="136" t="s">
        <v>613</v>
      </c>
      <c r="I409" s="143" t="s">
        <v>658</v>
      </c>
      <c r="J409" s="153">
        <f>IF(VLOOKUP(A409,'Aux - pivots1'!$A:$E,3,0)=0, "",VLOOKUP(A409,'Aux - pivots1'!$A:$E,3,0))</f>
        <v>45621</v>
      </c>
      <c r="K409" s="153">
        <f>IF(VLOOKUP(A409,'Aux - pivots1'!$A:$E,4,0)=0, "",VLOOKUP(A409,'Aux - pivots1'!$A:$E,4,0))</f>
        <v>45607</v>
      </c>
      <c r="L409" s="153">
        <f>IF(VLOOKUP(A409,'Aux - pivots1'!$A:$E,5,0)=0, "",VLOOKUP(A409,'Aux - pivots1'!$A:$E,5,0))</f>
        <v>45608</v>
      </c>
      <c r="M409" s="208"/>
      <c r="N409" s="208"/>
      <c r="O409" s="342" t="s">
        <v>29</v>
      </c>
    </row>
    <row r="410" spans="1:15" ht="16.2" hidden="1" customHeight="1">
      <c r="A410" s="30" t="str">
        <f t="shared" si="7"/>
        <v>modesg_out_emss_vclsscp2_emss</v>
      </c>
      <c r="B410" s="142" t="s">
        <v>26</v>
      </c>
      <c r="C410" s="138" t="s">
        <v>311</v>
      </c>
      <c r="D410" s="134" t="s">
        <v>40</v>
      </c>
      <c r="E410" s="135" t="s">
        <v>332</v>
      </c>
      <c r="F410" s="134" t="s">
        <v>287</v>
      </c>
      <c r="G410" s="136" t="str">
        <f>VLOOKUP(A410,Plano_V3!$A$26:$G$592,7,0)</f>
        <v>1. Concluído</v>
      </c>
      <c r="H410" s="136" t="s">
        <v>613</v>
      </c>
      <c r="I410" s="143" t="s">
        <v>658</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2" t="s">
        <v>29</v>
      </c>
    </row>
    <row r="411" spans="1:15" ht="16.2" hidden="1" customHeight="1">
      <c r="A411" s="30" t="str">
        <f t="shared" si="7"/>
        <v>modesg_out_emss_vclsscp3_emss</v>
      </c>
      <c r="B411" s="142" t="s">
        <v>26</v>
      </c>
      <c r="C411" s="138" t="s">
        <v>311</v>
      </c>
      <c r="D411" s="134" t="s">
        <v>40</v>
      </c>
      <c r="E411" s="135" t="s">
        <v>332</v>
      </c>
      <c r="F411" s="134" t="s">
        <v>288</v>
      </c>
      <c r="G411" s="136" t="str">
        <f>VLOOKUP(A411,Plano_V3!$A$26:$G$592,7,0)</f>
        <v>1. Concluído</v>
      </c>
      <c r="H411" s="136" t="s">
        <v>613</v>
      </c>
      <c r="I411" s="143" t="s">
        <v>658</v>
      </c>
      <c r="J411" s="153">
        <f>IF(VLOOKUP(A411,'Aux - pivots1'!$A:$E,3,0)=0, "",VLOOKUP(A411,'Aux - pivots1'!$A:$E,3,0))</f>
        <v>45569</v>
      </c>
      <c r="K411" s="153">
        <f>IF(VLOOKUP(A411,'Aux - pivots1'!$A:$E,4,0)=0, "",VLOOKUP(A411,'Aux - pivots1'!$A:$E,4,0))</f>
        <v>45607</v>
      </c>
      <c r="L411" s="153">
        <f>IF(VLOOKUP(A411,'Aux - pivots1'!$A:$E,5,0)=0, "",VLOOKUP(A411,'Aux - pivots1'!$A:$E,5,0))</f>
        <v>45608</v>
      </c>
      <c r="M411" s="208"/>
      <c r="N411" s="208"/>
      <c r="O411" s="342" t="s">
        <v>29</v>
      </c>
    </row>
    <row r="412" spans="1:15" ht="16.2" hidden="1" customHeight="1">
      <c r="A412" s="30" t="str">
        <f t="shared" si="7"/>
        <v>modesg_out_emss_vclsunidade_funcional_scp1_emss</v>
      </c>
      <c r="B412" s="142" t="s">
        <v>26</v>
      </c>
      <c r="C412" s="138" t="s">
        <v>311</v>
      </c>
      <c r="D412" s="134" t="s">
        <v>40</v>
      </c>
      <c r="E412" s="135" t="s">
        <v>332</v>
      </c>
      <c r="F412" s="134" t="s">
        <v>323</v>
      </c>
      <c r="G412" s="136" t="str">
        <f>VLOOKUP(A412,Plano_V3!$A$26:$G$592,7,0)</f>
        <v>1. Concluído</v>
      </c>
      <c r="H412" s="136" t="s">
        <v>613</v>
      </c>
      <c r="I412" s="154"/>
      <c r="J412" s="153" t="str">
        <f>IF(VLOOKUP(A412,'Aux - pivots1'!$A:$E,3,0)=0, "",VLOOKUP(A412,'Aux - pivots1'!$A:$E,3,0))</f>
        <v/>
      </c>
      <c r="K412" s="153" t="str">
        <f>IF(VLOOKUP(A412,'Aux - pivots1'!$A:$E,4,0)=0, "",VLOOKUP(A412,'Aux - pivots1'!$A:$E,4,0))</f>
        <v/>
      </c>
      <c r="L412" s="153" t="str">
        <f>IF(VLOOKUP(A412,'Aux - pivots1'!$A:$E,5,0)=0, "",VLOOKUP(A412,'Aux - pivots1'!$A:$E,5,0))</f>
        <v/>
      </c>
      <c r="M412" s="208"/>
      <c r="N412" s="208"/>
      <c r="O412" s="342" t="s">
        <v>29</v>
      </c>
    </row>
    <row r="413" spans="1:15" ht="16.2" hidden="1" customHeight="1">
      <c r="A413" s="30" t="str">
        <f t="shared" si="7"/>
        <v>modesg_out_emss_vclsunidade_funcional_scp2_emss</v>
      </c>
      <c r="B413" s="142" t="s">
        <v>26</v>
      </c>
      <c r="C413" s="138" t="s">
        <v>311</v>
      </c>
      <c r="D413" s="134" t="s">
        <v>40</v>
      </c>
      <c r="E413" s="135" t="s">
        <v>332</v>
      </c>
      <c r="F413" s="134" t="s">
        <v>324</v>
      </c>
      <c r="G413" s="136" t="str">
        <f>VLOOKUP(A413,Plano_V3!$A$26:$G$592,7,0)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2" t="s">
        <v>29</v>
      </c>
    </row>
    <row r="414" spans="1:15" ht="16.2" hidden="1" customHeight="1">
      <c r="A414" s="30" t="str">
        <f t="shared" si="7"/>
        <v>modesg_out_emss_vclsunidade_funcional_scp3_emss</v>
      </c>
      <c r="B414" s="142" t="s">
        <v>26</v>
      </c>
      <c r="C414" s="138" t="s">
        <v>311</v>
      </c>
      <c r="D414" s="134" t="s">
        <v>40</v>
      </c>
      <c r="E414" s="135" t="s">
        <v>332</v>
      </c>
      <c r="F414" s="134" t="s">
        <v>325</v>
      </c>
      <c r="G414" s="136" t="str">
        <f>VLOOKUP(A414,Plano_V3!$A$26:$G$592,7,0)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2" t="s">
        <v>29</v>
      </c>
    </row>
    <row r="415" spans="1:15" ht="16.2" hidden="1" customHeight="1">
      <c r="A415" s="30" t="str">
        <f t="shared" si="7"/>
        <v>modesg_out_sfcs_taxon_europeian.a.</v>
      </c>
      <c r="B415" s="142" t="s">
        <v>26</v>
      </c>
      <c r="C415" s="138" t="s">
        <v>311</v>
      </c>
      <c r="D415" s="134" t="s">
        <v>36</v>
      </c>
      <c r="E415" s="135" t="s">
        <v>334</v>
      </c>
      <c r="F415" s="134" t="s">
        <v>38</v>
      </c>
      <c r="G415" s="136" t="str">
        <f>VLOOKUP(A415,Plano_V3!$A$26:$G$592,7,0)</f>
        <v>2.2 Em Re-especificação</v>
      </c>
      <c r="H415" s="136" t="s">
        <v>1921</v>
      </c>
      <c r="I415" s="143" t="s">
        <v>656</v>
      </c>
      <c r="J415" s="153">
        <f>IF(VLOOKUP(A415,'Aux - pivots1'!$A:$E,3,0)=0, "",VLOOKUP(A415,'Aux - pivots1'!$A:$E,3,0))</f>
        <v>45563</v>
      </c>
      <c r="K415" s="153">
        <f>IF(VLOOKUP(A415,'Aux - pivots1'!$A:$E,4,0)=0, "",VLOOKUP(A415,'Aux - pivots1'!$A:$E,4,0))</f>
        <v>45624</v>
      </c>
      <c r="L415" s="153">
        <f>IF(VLOOKUP(A415,'Aux - pivots1'!$A:$E,5,0)=0, "",VLOOKUP(A415,'Aux - pivots1'!$A:$E,5,0))</f>
        <v>45629</v>
      </c>
      <c r="M415" s="208"/>
      <c r="N415" s="208"/>
      <c r="O415" s="342" t="s">
        <v>29</v>
      </c>
    </row>
    <row r="416" spans="1:15" ht="16.2" hidden="1" customHeight="1">
      <c r="A416" s="30" t="str">
        <f t="shared" si="7"/>
        <v>modesg_out_sfcs_taxon_europeiacbalcao</v>
      </c>
      <c r="B416" s="142" t="s">
        <v>26</v>
      </c>
      <c r="C416" s="138" t="s">
        <v>311</v>
      </c>
      <c r="D416" s="134" t="s">
        <v>40</v>
      </c>
      <c r="E416" s="135" t="s">
        <v>334</v>
      </c>
      <c r="F416" s="134" t="s">
        <v>183</v>
      </c>
      <c r="G416" s="136" t="str">
        <f>VLOOKUP(A416,Plano_V3!$A$26:$G$592,7,0)</f>
        <v>2.2 Em Re-especificação</v>
      </c>
      <c r="H416" s="136" t="s">
        <v>1921</v>
      </c>
      <c r="I416" s="143" t="s">
        <v>656</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2" t="s">
        <v>29</v>
      </c>
    </row>
    <row r="417" spans="1:15" ht="16.2" hidden="1" customHeight="1">
      <c r="A417" s="30" t="str">
        <f t="shared" si="7"/>
        <v>modesg_out_sfcs_taxon_europeiacempresa</v>
      </c>
      <c r="B417" s="142" t="s">
        <v>26</v>
      </c>
      <c r="C417" s="138" t="s">
        <v>311</v>
      </c>
      <c r="D417" s="134" t="s">
        <v>40</v>
      </c>
      <c r="E417" s="135" t="s">
        <v>334</v>
      </c>
      <c r="F417" s="134" t="s">
        <v>184</v>
      </c>
      <c r="G417" s="136" t="str">
        <f>VLOOKUP(A417,Plano_V3!$A$26:$G$592,7,0)</f>
        <v>2.2 Em Re-especificação</v>
      </c>
      <c r="H417" s="136" t="s">
        <v>1921</v>
      </c>
      <c r="I417" s="143" t="s">
        <v>656</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2" t="s">
        <v>29</v>
      </c>
    </row>
    <row r="418" spans="1:15" ht="16.2" hidden="1" customHeight="1">
      <c r="A418" s="30" t="str">
        <f t="shared" si="7"/>
        <v>modesg_out_sfcs_taxon_europeiacnumecta</v>
      </c>
      <c r="B418" s="142" t="s">
        <v>26</v>
      </c>
      <c r="C418" s="138" t="s">
        <v>311</v>
      </c>
      <c r="D418" s="134" t="s">
        <v>40</v>
      </c>
      <c r="E418" s="135" t="s">
        <v>334</v>
      </c>
      <c r="F418" s="134" t="s">
        <v>189</v>
      </c>
      <c r="G418" s="136" t="str">
        <f>VLOOKUP(A418,Plano_V3!$A$26:$G$592,7,0)</f>
        <v>2.2 Em Re-especificação</v>
      </c>
      <c r="H418" s="136" t="s">
        <v>1921</v>
      </c>
      <c r="I418" s="143" t="s">
        <v>656</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2" t="s">
        <v>29</v>
      </c>
    </row>
    <row r="419" spans="1:15" ht="16.2" hidden="1" customHeight="1">
      <c r="A419" s="30" t="str">
        <f t="shared" si="7"/>
        <v>modesg_out_sfcs_taxon_europeiacod_regra</v>
      </c>
      <c r="B419" s="142" t="s">
        <v>26</v>
      </c>
      <c r="C419" s="138" t="s">
        <v>311</v>
      </c>
      <c r="D419" s="134" t="s">
        <v>40</v>
      </c>
      <c r="E419" s="135" t="s">
        <v>334</v>
      </c>
      <c r="F419" s="134" t="s">
        <v>191</v>
      </c>
      <c r="G419" s="136" t="str">
        <f>VLOOKUP(A419,Plano_V3!$A$26:$G$592,7,0)</f>
        <v>2.2 Em Re-especificação</v>
      </c>
      <c r="H419" s="136" t="s">
        <v>1921</v>
      </c>
      <c r="I419" s="143" t="s">
        <v>656</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2" t="s">
        <v>29</v>
      </c>
    </row>
    <row r="420" spans="1:15" ht="16.2" hidden="1" customHeight="1">
      <c r="A420" s="30" t="str">
        <f t="shared" si="7"/>
        <v>modesg_out_sfcs_taxon_europeiaordem</v>
      </c>
      <c r="B420" s="142" t="s">
        <v>26</v>
      </c>
      <c r="C420" s="138" t="s">
        <v>311</v>
      </c>
      <c r="D420" s="134" t="s">
        <v>40</v>
      </c>
      <c r="E420" s="135" t="s">
        <v>334</v>
      </c>
      <c r="F420" s="134" t="s">
        <v>211</v>
      </c>
      <c r="G420" s="136" t="str">
        <f>VLOOKUP(A420,Plano_V3!$A$26:$G$592,7,0)</f>
        <v>0. Cancelado</v>
      </c>
      <c r="H420" s="136" t="s">
        <v>612</v>
      </c>
      <c r="I420" s="145" t="s">
        <v>655</v>
      </c>
      <c r="J420" s="153">
        <f>IF(VLOOKUP(A420,'Aux - pivots1'!$A:$E,3,0)=0, "",VLOOKUP(A420,'Aux - pivots1'!$A:$E,3,0))</f>
        <v>45562</v>
      </c>
      <c r="K420" s="153" t="str">
        <f>IF(VLOOKUP(A420,'Aux - pivots1'!$A:$E,4,0)=0, "",VLOOKUP(A420,'Aux - pivots1'!$A:$E,4,0))</f>
        <v/>
      </c>
      <c r="L420" s="153" t="str">
        <f>IF(VLOOKUP(A420,'Aux - pivots1'!$A:$E,5,0)=0, "",VLOOKUP(A420,'Aux - pivots1'!$A:$E,5,0))</f>
        <v/>
      </c>
      <c r="M420" s="208"/>
      <c r="N420" s="208"/>
      <c r="O420" s="342" t="s">
        <v>29</v>
      </c>
    </row>
    <row r="421" spans="1:15" ht="16.2" hidden="1" customHeight="1">
      <c r="A421" s="30" t="str">
        <f t="shared" si="7"/>
        <v>modesg_out_sfcs_taxon_europeiamontante_pndrc</v>
      </c>
      <c r="B421" s="142" t="s">
        <v>26</v>
      </c>
      <c r="C421" s="138" t="s">
        <v>311</v>
      </c>
      <c r="D421" s="134" t="s">
        <v>40</v>
      </c>
      <c r="E421" s="135" t="s">
        <v>334</v>
      </c>
      <c r="F421" s="134" t="s">
        <v>202</v>
      </c>
      <c r="G421" s="136" t="str">
        <f>VLOOKUP(A421,Plano_V3!$A$26:$G$592,7,0)</f>
        <v>2.2 Em Re-especificação</v>
      </c>
      <c r="H421" s="136" t="s">
        <v>1921</v>
      </c>
      <c r="I421" s="143" t="s">
        <v>656</v>
      </c>
      <c r="J421" s="153">
        <f>IF(VLOOKUP(A421,'Aux - pivots1'!$A:$E,3,0)=0, "",VLOOKUP(A421,'Aux - pivots1'!$A:$E,3,0))</f>
        <v>45563</v>
      </c>
      <c r="K421" s="153">
        <f>IF(VLOOKUP(A421,'Aux - pivots1'!$A:$E,4,0)=0, "",VLOOKUP(A421,'Aux - pivots1'!$A:$E,4,0))</f>
        <v>45624</v>
      </c>
      <c r="L421" s="153">
        <f>IF(VLOOKUP(A421,'Aux - pivots1'!$A:$E,5,0)=0, "",VLOOKUP(A421,'Aux - pivots1'!$A:$E,5,0))</f>
        <v>45629</v>
      </c>
      <c r="M421" s="208"/>
      <c r="N421" s="208"/>
      <c r="O421" s="342" t="s">
        <v>29</v>
      </c>
    </row>
    <row r="422" spans="1:15" ht="16.2" hidden="1" customHeight="1">
      <c r="A422" s="30" t="str">
        <f t="shared" si="7"/>
        <v>modesg_out_sfcs_taxon_europeianome_ctgr_sfcs</v>
      </c>
      <c r="B422" s="142" t="s">
        <v>26</v>
      </c>
      <c r="C422" s="138" t="s">
        <v>311</v>
      </c>
      <c r="D422" s="134" t="s">
        <v>40</v>
      </c>
      <c r="E422" s="135" t="s">
        <v>334</v>
      </c>
      <c r="F422" s="134" t="s">
        <v>203</v>
      </c>
      <c r="G422" s="136" t="str">
        <f>VLOOKUP(A422,Plano_V3!$A$26:$G$592,7,0)</f>
        <v>2.2 Em Re-especificação</v>
      </c>
      <c r="H422" s="136" t="s">
        <v>1921</v>
      </c>
      <c r="I422" s="143" t="s">
        <v>656</v>
      </c>
      <c r="J422" s="153">
        <f>IF(VLOOKUP(A422,'Aux - pivots1'!$A:$E,3,0)=0, "",VLOOKUP(A422,'Aux - pivots1'!$A:$E,3,0))</f>
        <v>45562</v>
      </c>
      <c r="K422" s="153">
        <f>IF(VLOOKUP(A422,'Aux - pivots1'!$A:$E,4,0)=0, "",VLOOKUP(A422,'Aux - pivots1'!$A:$E,4,0))</f>
        <v>45624</v>
      </c>
      <c r="L422" s="153">
        <f>IF(VLOOKUP(A422,'Aux - pivots1'!$A:$E,5,0)=0, "",VLOOKUP(A422,'Aux - pivots1'!$A:$E,5,0))</f>
        <v>45629</v>
      </c>
      <c r="M422" s="208"/>
      <c r="N422" s="208"/>
      <c r="O422" s="342" t="s">
        <v>29</v>
      </c>
    </row>
    <row r="423" spans="1:15" ht="16.2" hidden="1" customHeight="1">
      <c r="A423" s="30" t="str">
        <f t="shared" si="7"/>
        <v>modesg_out_sfcs_taxon_europeianome_general_specific_purpose</v>
      </c>
      <c r="B423" s="142" t="s">
        <v>26</v>
      </c>
      <c r="C423" s="138" t="s">
        <v>311</v>
      </c>
      <c r="D423" s="134" t="s">
        <v>40</v>
      </c>
      <c r="E423" s="135" t="s">
        <v>334</v>
      </c>
      <c r="F423" s="134" t="s">
        <v>204</v>
      </c>
      <c r="G423" s="136" t="str">
        <f>VLOOKUP(A423,Plano_V3!$A$26:$G$592,7,0)</f>
        <v>2.2 Em Re-especificação</v>
      </c>
      <c r="H423" s="136" t="s">
        <v>1921</v>
      </c>
      <c r="I423" s="143" t="s">
        <v>656</v>
      </c>
      <c r="J423" s="153">
        <f>IF(VLOOKUP(A423,'Aux - pivots1'!$A:$E,3,0)=0, "",VLOOKUP(A423,'Aux - pivots1'!$A:$E,3,0))</f>
        <v>45563</v>
      </c>
      <c r="K423" s="153">
        <f>IF(VLOOKUP(A423,'Aux - pivots1'!$A:$E,4,0)=0, "",VLOOKUP(A423,'Aux - pivots1'!$A:$E,4,0))</f>
        <v>45624</v>
      </c>
      <c r="L423" s="153">
        <f>IF(VLOOKUP(A423,'Aux - pivots1'!$A:$E,5,0)=0, "",VLOOKUP(A423,'Aux - pivots1'!$A:$E,5,0))</f>
        <v>45629</v>
      </c>
      <c r="M423" s="208"/>
      <c r="N423" s="208"/>
      <c r="O423" s="342" t="s">
        <v>29</v>
      </c>
    </row>
    <row r="424" spans="1:15" ht="16.2" hidden="1" customHeight="1">
      <c r="A424" s="30" t="str">
        <f t="shared" si="7"/>
        <v>modesg_out_sfcs_taxon_europeianome_purpose_esg</v>
      </c>
      <c r="B424" s="142" t="s">
        <v>26</v>
      </c>
      <c r="C424" s="138" t="s">
        <v>311</v>
      </c>
      <c r="D424" s="134" t="s">
        <v>40</v>
      </c>
      <c r="E424" s="135" t="s">
        <v>334</v>
      </c>
      <c r="F424" s="134" t="s">
        <v>205</v>
      </c>
      <c r="G424" s="136" t="str">
        <f>VLOOKUP(A424,Plano_V3!$A$26:$G$592,7,0)</f>
        <v>2.2 Em Re-especificação</v>
      </c>
      <c r="H424" s="136" t="s">
        <v>1921</v>
      </c>
      <c r="I424" s="143" t="s">
        <v>656</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2" t="s">
        <v>29</v>
      </c>
    </row>
    <row r="425" spans="1:15" ht="16.2" hidden="1" customHeight="1">
      <c r="A425" s="30" t="str">
        <f t="shared" si="7"/>
        <v>modesg_out_sfcs_taxon_europeianome_specific_eligible</v>
      </c>
      <c r="B425" s="142" t="s">
        <v>26</v>
      </c>
      <c r="C425" s="138" t="s">
        <v>311</v>
      </c>
      <c r="D425" s="134" t="s">
        <v>40</v>
      </c>
      <c r="E425" s="135" t="s">
        <v>334</v>
      </c>
      <c r="F425" s="134" t="s">
        <v>206</v>
      </c>
      <c r="G425" s="136" t="str">
        <f>VLOOKUP(A425,Plano_V3!$A$26:$G$592,7,0)</f>
        <v>2.2 Em Re-especificação</v>
      </c>
      <c r="H425" s="136" t="s">
        <v>1921</v>
      </c>
      <c r="I425" s="143" t="s">
        <v>656</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2" t="s">
        <v>29</v>
      </c>
    </row>
    <row r="426" spans="1:15" ht="16.2" hidden="1" customHeight="1">
      <c r="A426" s="30" t="str">
        <f t="shared" si="7"/>
        <v>modesg_out_sfcs_taxon_europeianome_specific_sustainable</v>
      </c>
      <c r="B426" s="142" t="s">
        <v>26</v>
      </c>
      <c r="C426" s="138" t="s">
        <v>311</v>
      </c>
      <c r="D426" s="134" t="s">
        <v>40</v>
      </c>
      <c r="E426" s="135" t="s">
        <v>334</v>
      </c>
      <c r="F426" s="134" t="s">
        <v>207</v>
      </c>
      <c r="G426" s="136" t="str">
        <f>VLOOKUP(A426,Plano_V3!$A$26:$G$592,7,0)</f>
        <v>2.2 Em Re-especificação</v>
      </c>
      <c r="H426" s="136" t="s">
        <v>1921</v>
      </c>
      <c r="I426" s="143" t="s">
        <v>656</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2" t="s">
        <v>29</v>
      </c>
    </row>
    <row r="427" spans="1:15" ht="16.2" hidden="1" customHeight="1">
      <c r="A427" s="30" t="str">
        <f t="shared" si="7"/>
        <v>modesg_out_sfcs_taxon_europeiaorigem</v>
      </c>
      <c r="B427" s="142" t="s">
        <v>26</v>
      </c>
      <c r="C427" s="138" t="s">
        <v>311</v>
      </c>
      <c r="D427" s="134" t="s">
        <v>40</v>
      </c>
      <c r="E427" s="135" t="s">
        <v>334</v>
      </c>
      <c r="F427" s="134" t="s">
        <v>72</v>
      </c>
      <c r="G427" s="136" t="str">
        <f>VLOOKUP(A427,Plano_V3!$A$26:$G$592,7,0)</f>
        <v>1. Concluído</v>
      </c>
      <c r="H427" s="136" t="s">
        <v>613</v>
      </c>
      <c r="I427" s="143"/>
      <c r="J427" s="153" t="str">
        <f>IF(VLOOKUP(A427,'Aux - pivots1'!$A:$E,3,0)=0, "",VLOOKUP(A427,'Aux - pivots1'!$A:$E,3,0))</f>
        <v/>
      </c>
      <c r="K427" s="153" t="str">
        <f>IF(VLOOKUP(A427,'Aux - pivots1'!$A:$E,4,0)=0, "",VLOOKUP(A427,'Aux - pivots1'!$A:$E,4,0))</f>
        <v/>
      </c>
      <c r="L427" s="153" t="str">
        <f>IF(VLOOKUP(A427,'Aux - pivots1'!$A:$E,5,0)=0, "",VLOOKUP(A427,'Aux - pivots1'!$A:$E,5,0))</f>
        <v/>
      </c>
      <c r="M427" s="208"/>
      <c r="N427" s="208"/>
      <c r="O427" s="342" t="s">
        <v>29</v>
      </c>
    </row>
    <row r="428" spans="1:15" ht="16.2" hidden="1" customHeight="1">
      <c r="A428" s="30" t="str">
        <f t="shared" si="7"/>
        <v>modesg_out_sfcs_taxon_europeiaref_date</v>
      </c>
      <c r="B428" s="142" t="s">
        <v>26</v>
      </c>
      <c r="C428" s="138" t="s">
        <v>311</v>
      </c>
      <c r="D428" s="134" t="s">
        <v>40</v>
      </c>
      <c r="E428" s="135" t="s">
        <v>334</v>
      </c>
      <c r="F428" s="134" t="s">
        <v>208</v>
      </c>
      <c r="G428" s="136" t="str">
        <f>VLOOKUP(A428,Plano_V3!$A$26:$G$592,7,0)</f>
        <v>2.2 Em Re-especificação</v>
      </c>
      <c r="H428" s="136" t="s">
        <v>1921</v>
      </c>
      <c r="I428" s="143" t="s">
        <v>656</v>
      </c>
      <c r="J428" s="153">
        <f>IF(VLOOKUP(A428,'Aux - pivots1'!$A:$E,3,0)=0, "",VLOOKUP(A428,'Aux - pivots1'!$A:$E,3,0))</f>
        <v>45561</v>
      </c>
      <c r="K428" s="153">
        <f>IF(VLOOKUP(A428,'Aux - pivots1'!$A:$E,4,0)=0, "",VLOOKUP(A428,'Aux - pivots1'!$A:$E,4,0))</f>
        <v>45624</v>
      </c>
      <c r="L428" s="153">
        <f>IF(VLOOKUP(A428,'Aux - pivots1'!$A:$E,5,0)=0, "",VLOOKUP(A428,'Aux - pivots1'!$A:$E,5,0))</f>
        <v>45629</v>
      </c>
      <c r="M428" s="208"/>
      <c r="N428" s="208"/>
      <c r="O428" s="342" t="s">
        <v>29</v>
      </c>
    </row>
    <row r="429" spans="1:15" ht="16.2" hidden="1" customHeight="1">
      <c r="A429" s="30" t="str">
        <f t="shared" si="7"/>
        <v>modesg_out_sfcs_taxon_europeiazdeposit</v>
      </c>
      <c r="B429" s="142" t="s">
        <v>26</v>
      </c>
      <c r="C429" s="138" t="s">
        <v>311</v>
      </c>
      <c r="D429" s="134" t="s">
        <v>40</v>
      </c>
      <c r="E429" s="135" t="s">
        <v>334</v>
      </c>
      <c r="F429" s="134" t="s">
        <v>210</v>
      </c>
      <c r="G429" s="136" t="str">
        <f>VLOOKUP(A429,Plano_V3!$A$26:$G$592,7,0)</f>
        <v>2.2 Em Re-especificação</v>
      </c>
      <c r="H429" s="136" t="s">
        <v>1921</v>
      </c>
      <c r="I429" s="143" t="s">
        <v>656</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2" t="s">
        <v>29</v>
      </c>
    </row>
    <row r="430" spans="1:15" ht="16.2" hidden="1" customHeight="1">
      <c r="A430" s="30" t="str">
        <f t="shared" si="7"/>
        <v>lt003_entitynace_esg</v>
      </c>
      <c r="B430" s="142" t="s">
        <v>26</v>
      </c>
      <c r="C430" s="138" t="s">
        <v>26</v>
      </c>
      <c r="D430" s="134" t="s">
        <v>40</v>
      </c>
      <c r="E430" s="137" t="s">
        <v>336</v>
      </c>
      <c r="F430" s="137" t="s">
        <v>337</v>
      </c>
      <c r="G430" s="136" t="str">
        <f>VLOOKUP(A430,Plano_V3!$A$26:$G$592,7,0)</f>
        <v>3. Pendente de outros desenvolvimentos</v>
      </c>
      <c r="H430" s="136" t="s">
        <v>613</v>
      </c>
      <c r="I430" s="143"/>
      <c r="J430" s="153">
        <f>IF(VLOOKUP(A430,'Aux - pivots1'!$A:$E,3,0)=0, "",VLOOKUP(A430,'Aux - pivots1'!$A:$E,3,0))</f>
        <v>45583</v>
      </c>
      <c r="K430" s="153" t="str">
        <f>IF(VLOOKUP(A430,'Aux - pivots1'!$A:$E,4,0)=0, "",VLOOKUP(A430,'Aux - pivots1'!$A:$E,4,0))</f>
        <v/>
      </c>
      <c r="L430" s="153">
        <f>IF(VLOOKUP(A430,'Aux - pivots1'!$A:$E,5,0)=0, "",VLOOKUP(A430,'Aux - pivots1'!$A:$E,5,0))</f>
        <v>45596</v>
      </c>
      <c r="M430" s="208"/>
      <c r="N430" s="208"/>
      <c r="O430" s="342" t="s">
        <v>26</v>
      </c>
    </row>
    <row r="431" spans="1:15" ht="16.2" hidden="1" customHeight="1">
      <c r="A431" s="30" t="str">
        <f t="shared" si="7"/>
        <v>lt003_entitytxnmy_elgbl_capex_ccm</v>
      </c>
      <c r="B431" s="142" t="s">
        <v>26</v>
      </c>
      <c r="C431" s="138" t="s">
        <v>26</v>
      </c>
      <c r="D431" s="134" t="s">
        <v>40</v>
      </c>
      <c r="E431" s="137" t="s">
        <v>336</v>
      </c>
      <c r="F431" s="137" t="s">
        <v>339</v>
      </c>
      <c r="G431" s="136" t="str">
        <f>VLOOKUP(A431,Plano_V3!$A$26:$G$592,7,0)</f>
        <v>1. Concluído</v>
      </c>
      <c r="H431" s="136" t="s">
        <v>613</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8"/>
      <c r="N431" s="208"/>
      <c r="O431" s="342" t="s">
        <v>26</v>
      </c>
    </row>
    <row r="432" spans="1:15" ht="16.2" hidden="1" customHeight="1">
      <c r="A432" s="30" t="str">
        <f t="shared" si="7"/>
        <v>lt003_entitytxnmy_elgbl_trnvr_ccm</v>
      </c>
      <c r="B432" s="142" t="s">
        <v>26</v>
      </c>
      <c r="C432" s="138" t="s">
        <v>26</v>
      </c>
      <c r="D432" s="134" t="s">
        <v>40</v>
      </c>
      <c r="E432" s="137" t="s">
        <v>336</v>
      </c>
      <c r="F432" s="137" t="s">
        <v>340</v>
      </c>
      <c r="G432" s="136" t="str">
        <f>VLOOKUP(A432,Plano_V3!$A$26:$G$592,7,0)</f>
        <v>1. Concluído</v>
      </c>
      <c r="H432" s="136" t="s">
        <v>613</v>
      </c>
      <c r="I432" s="143"/>
      <c r="J432" s="153" t="str">
        <f>IF(VLOOKUP(A432,'Aux - pivots1'!$A:$E,3,0)=0, "",VLOOKUP(A432,'Aux - pivots1'!$A:$E,3,0))</f>
        <v/>
      </c>
      <c r="K432" s="153">
        <f>IF(VLOOKUP(A432,'Aux - pivots1'!$A:$E,4,0)=0, "",VLOOKUP(A432,'Aux - pivots1'!$A:$E,4,0))</f>
        <v>45614</v>
      </c>
      <c r="L432" s="153">
        <f>IF(VLOOKUP(A432,'Aux - pivots1'!$A:$E,5,0)=0, "",VLOOKUP(A432,'Aux - pivots1'!$A:$E,5,0))</f>
        <v>45596</v>
      </c>
      <c r="M432" s="208"/>
      <c r="N432" s="208"/>
      <c r="O432" s="342" t="s">
        <v>26</v>
      </c>
    </row>
    <row r="433" spans="1:15" ht="16.2" hidden="1" customHeight="1">
      <c r="A433" s="30" t="str">
        <f t="shared" si="7"/>
        <v>lt003_entitytxnmy_elgbl_capex_cca</v>
      </c>
      <c r="B433" s="142" t="s">
        <v>26</v>
      </c>
      <c r="C433" s="138" t="s">
        <v>26</v>
      </c>
      <c r="D433" s="134" t="s">
        <v>40</v>
      </c>
      <c r="E433" s="137" t="s">
        <v>336</v>
      </c>
      <c r="F433" s="137" t="s">
        <v>341</v>
      </c>
      <c r="G433" s="136" t="str">
        <f>VLOOKUP(A433,Plano_V3!$A$26:$G$592,7,0)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2" t="s">
        <v>26</v>
      </c>
    </row>
    <row r="434" spans="1:15" ht="16.2" hidden="1" customHeight="1">
      <c r="A434" s="30" t="str">
        <f t="shared" si="7"/>
        <v>lt003_entitytxnmy_elgbl_trnvr_cca</v>
      </c>
      <c r="B434" s="142" t="s">
        <v>26</v>
      </c>
      <c r="C434" s="138" t="s">
        <v>26</v>
      </c>
      <c r="D434" s="134" t="s">
        <v>40</v>
      </c>
      <c r="E434" s="137" t="s">
        <v>336</v>
      </c>
      <c r="F434" s="137" t="s">
        <v>342</v>
      </c>
      <c r="G434" s="136" t="str">
        <f>VLOOKUP(A434,Plano_V3!$A$26:$G$592,7,0)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2" t="s">
        <v>26</v>
      </c>
    </row>
    <row r="435" spans="1:15" ht="16.2" hidden="1" customHeight="1">
      <c r="A435" s="30" t="str">
        <f t="shared" si="7"/>
        <v>lt003_entityenblng_capex_ccm</v>
      </c>
      <c r="B435" s="142" t="s">
        <v>26</v>
      </c>
      <c r="C435" s="138" t="s">
        <v>26</v>
      </c>
      <c r="D435" s="134" t="s">
        <v>40</v>
      </c>
      <c r="E435" s="137" t="s">
        <v>336</v>
      </c>
      <c r="F435" s="137" t="s">
        <v>343</v>
      </c>
      <c r="G435" s="136" t="str">
        <f>VLOOKUP(A435,Plano_V3!$A$26:$G$592,7,0)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2" t="s">
        <v>26</v>
      </c>
    </row>
    <row r="436" spans="1:15" ht="16.2" hidden="1" customHeight="1">
      <c r="A436" s="30" t="str">
        <f t="shared" si="7"/>
        <v>lt003_entityenblng_capex_cca</v>
      </c>
      <c r="B436" s="142" t="s">
        <v>26</v>
      </c>
      <c r="C436" s="138" t="s">
        <v>26</v>
      </c>
      <c r="D436" s="134" t="s">
        <v>40</v>
      </c>
      <c r="E436" s="137" t="s">
        <v>336</v>
      </c>
      <c r="F436" s="137" t="s">
        <v>344</v>
      </c>
      <c r="G436" s="136" t="str">
        <f>VLOOKUP(A436,Plano_V3!$A$26:$G$592,7,0)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2" t="s">
        <v>26</v>
      </c>
    </row>
    <row r="437" spans="1:15" ht="16.2" hidden="1" customHeight="1">
      <c r="A437" s="30" t="str">
        <f t="shared" si="7"/>
        <v>lt003_entitytrnstnl_capex</v>
      </c>
      <c r="B437" s="142" t="s">
        <v>26</v>
      </c>
      <c r="C437" s="138" t="s">
        <v>26</v>
      </c>
      <c r="D437" s="134" t="s">
        <v>40</v>
      </c>
      <c r="E437" s="137" t="s">
        <v>336</v>
      </c>
      <c r="F437" s="137" t="s">
        <v>345</v>
      </c>
      <c r="G437" s="136" t="str">
        <f>VLOOKUP(A437,Plano_V3!$A$26:$G$592,7,0)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2" t="s">
        <v>26</v>
      </c>
    </row>
    <row r="438" spans="1:15" ht="16.2" hidden="1" customHeight="1">
      <c r="A438" s="30" t="str">
        <f t="shared" si="7"/>
        <v>lt003_entitypure_capex_ccm</v>
      </c>
      <c r="B438" s="142" t="s">
        <v>26</v>
      </c>
      <c r="C438" s="138" t="s">
        <v>26</v>
      </c>
      <c r="D438" s="134" t="s">
        <v>40</v>
      </c>
      <c r="E438" s="137" t="s">
        <v>336</v>
      </c>
      <c r="F438" s="137" t="s">
        <v>346</v>
      </c>
      <c r="G438" s="136" t="str">
        <f>VLOOKUP(A438,Plano_V3!$A$26:$G$592,7,0)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2" t="s">
        <v>26</v>
      </c>
    </row>
    <row r="439" spans="1:15" ht="16.2" hidden="1" customHeight="1">
      <c r="A439" s="30" t="str">
        <f t="shared" si="7"/>
        <v>lt003_entitypure_capex_cca</v>
      </c>
      <c r="B439" s="142" t="s">
        <v>26</v>
      </c>
      <c r="C439" s="138" t="s">
        <v>26</v>
      </c>
      <c r="D439" s="134" t="s">
        <v>40</v>
      </c>
      <c r="E439" s="137" t="s">
        <v>336</v>
      </c>
      <c r="F439" s="137" t="s">
        <v>347</v>
      </c>
      <c r="G439" s="136" t="str">
        <f>VLOOKUP(A439,Plano_V3!$A$26:$G$592,7,0)</f>
        <v>1. Concluído</v>
      </c>
      <c r="H439" s="136" t="s">
        <v>613</v>
      </c>
      <c r="I439" s="143"/>
      <c r="J439" s="153" t="str">
        <f>IF(VLOOKUP(A439,'Aux - pivots1'!$A:$E,3,0)=0, "",VLOOKUP(A439,'Aux - pivots1'!$A:$E,3,0))</f>
        <v/>
      </c>
      <c r="K439" s="153">
        <f>IF(VLOOKUP(A439,'Aux - pivots1'!$A:$E,4,0)=0, "",VLOOKUP(A439,'Aux - pivots1'!$A:$E,4,0))</f>
        <v>45611</v>
      </c>
      <c r="L439" s="153">
        <f>IF(VLOOKUP(A439,'Aux - pivots1'!$A:$E,5,0)=0, "",VLOOKUP(A439,'Aux - pivots1'!$A:$E,5,0))</f>
        <v>45611</v>
      </c>
      <c r="M439" s="208"/>
      <c r="N439" s="208"/>
      <c r="O439" s="342" t="s">
        <v>26</v>
      </c>
    </row>
    <row r="440" spans="1:15" ht="16.2" hidden="1" customHeight="1">
      <c r="A440" s="30" t="str">
        <f t="shared" si="7"/>
        <v>lt003_entityenblng_trnvr_ccm</v>
      </c>
      <c r="B440" s="142" t="s">
        <v>26</v>
      </c>
      <c r="C440" s="138" t="s">
        <v>26</v>
      </c>
      <c r="D440" s="134" t="s">
        <v>40</v>
      </c>
      <c r="E440" s="137" t="s">
        <v>336</v>
      </c>
      <c r="F440" s="137" t="s">
        <v>348</v>
      </c>
      <c r="G440" s="136" t="str">
        <f>VLOOKUP(A440,Plano_V3!$A$26:$G$592,7,0)</f>
        <v>1. Concluído</v>
      </c>
      <c r="H440" s="136" t="s">
        <v>613</v>
      </c>
      <c r="I440" s="143"/>
      <c r="J440" s="153" t="str">
        <f>IF(VLOOKUP(A440,'Aux - pivots1'!$A:$E,3,0)=0, "",VLOOKUP(A440,'Aux - pivots1'!$A:$E,3,0))</f>
        <v/>
      </c>
      <c r="K440" s="153">
        <f>IF(VLOOKUP(A440,'Aux - pivots1'!$A:$E,4,0)=0, "",VLOOKUP(A440,'Aux - pivots1'!$A:$E,4,0))</f>
        <v>45614</v>
      </c>
      <c r="L440" s="153">
        <f>IF(VLOOKUP(A440,'Aux - pivots1'!$A:$E,5,0)=0, "",VLOOKUP(A440,'Aux - pivots1'!$A:$E,5,0))</f>
        <v>45596</v>
      </c>
      <c r="M440" s="208"/>
      <c r="N440" s="208"/>
      <c r="O440" s="342" t="s">
        <v>26</v>
      </c>
    </row>
    <row r="441" spans="1:15" ht="16.2" hidden="1" customHeight="1">
      <c r="A441" s="30" t="str">
        <f t="shared" si="7"/>
        <v>lt003_entityenblng_trnvr_cca</v>
      </c>
      <c r="B441" s="142" t="s">
        <v>26</v>
      </c>
      <c r="C441" s="138" t="s">
        <v>26</v>
      </c>
      <c r="D441" s="134" t="s">
        <v>40</v>
      </c>
      <c r="E441" s="137" t="s">
        <v>336</v>
      </c>
      <c r="F441" s="137" t="s">
        <v>349</v>
      </c>
      <c r="G441" s="136" t="str">
        <f>VLOOKUP(A441,Plano_V3!$A$26:$G$592,7,0)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2" t="s">
        <v>26</v>
      </c>
    </row>
    <row r="442" spans="1:15" ht="16.2" hidden="1" customHeight="1">
      <c r="A442" s="30" t="str">
        <f t="shared" si="7"/>
        <v>lt003_entitytrnstnl_trnvr</v>
      </c>
      <c r="B442" s="142" t="s">
        <v>26</v>
      </c>
      <c r="C442" s="138" t="s">
        <v>26</v>
      </c>
      <c r="D442" s="134" t="s">
        <v>40</v>
      </c>
      <c r="E442" s="137" t="s">
        <v>336</v>
      </c>
      <c r="F442" s="137" t="s">
        <v>350</v>
      </c>
      <c r="G442" s="136" t="str">
        <f>VLOOKUP(A442,Plano_V3!$A$26:$G$592,7,0)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2" t="s">
        <v>26</v>
      </c>
    </row>
    <row r="443" spans="1:15" ht="16.2" hidden="1" customHeight="1">
      <c r="A443" s="30" t="str">
        <f t="shared" si="7"/>
        <v>lt003_entitypure_trnvr_ccm</v>
      </c>
      <c r="B443" s="142" t="s">
        <v>26</v>
      </c>
      <c r="C443" s="138" t="s">
        <v>26</v>
      </c>
      <c r="D443" s="134" t="s">
        <v>40</v>
      </c>
      <c r="E443" s="137" t="s">
        <v>336</v>
      </c>
      <c r="F443" s="137" t="s">
        <v>351</v>
      </c>
      <c r="G443" s="136" t="str">
        <f>VLOOKUP(A443,Plano_V3!$A$26:$G$592,7,0)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2" t="s">
        <v>26</v>
      </c>
    </row>
    <row r="444" spans="1:15" ht="16.2" hidden="1" customHeight="1">
      <c r="A444" s="30" t="str">
        <f t="shared" si="7"/>
        <v>lt003_entitypure_trnvr_cca</v>
      </c>
      <c r="B444" s="142" t="s">
        <v>26</v>
      </c>
      <c r="C444" s="138" t="s">
        <v>26</v>
      </c>
      <c r="D444" s="134" t="s">
        <v>40</v>
      </c>
      <c r="E444" s="137" t="s">
        <v>336</v>
      </c>
      <c r="F444" s="137" t="s">
        <v>352</v>
      </c>
      <c r="G444" s="136" t="str">
        <f>VLOOKUP(A444,Plano_V3!$A$26:$G$592,7,0)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2" t="s">
        <v>26</v>
      </c>
    </row>
    <row r="445" spans="1:15" ht="16.2" hidden="1" customHeight="1">
      <c r="A445" s="30" t="str">
        <f t="shared" si="7"/>
        <v>lt003_entityflg_nfrd_applcblty</v>
      </c>
      <c r="B445" s="142" t="s">
        <v>26</v>
      </c>
      <c r="C445" s="138" t="s">
        <v>26</v>
      </c>
      <c r="D445" s="134" t="s">
        <v>40</v>
      </c>
      <c r="E445" s="137" t="s">
        <v>336</v>
      </c>
      <c r="F445" s="137" t="s">
        <v>353</v>
      </c>
      <c r="G445" s="136" t="str">
        <f>VLOOKUP(A445,Plano_V3!$A$26:$G$592,7,0)</f>
        <v>1. Concluído</v>
      </c>
      <c r="H445" s="136" t="s">
        <v>613</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8"/>
      <c r="N445" s="208"/>
      <c r="O445" s="342" t="s">
        <v>26</v>
      </c>
    </row>
    <row r="446" spans="1:15" ht="16.2" hidden="1" customHeight="1">
      <c r="A446" s="30" t="str">
        <f t="shared" si="7"/>
        <v>lt003_entitycntrprty_emssns_scp1</v>
      </c>
      <c r="B446" s="142" t="s">
        <v>26</v>
      </c>
      <c r="C446" s="138" t="s">
        <v>26</v>
      </c>
      <c r="D446" s="134" t="s">
        <v>40</v>
      </c>
      <c r="E446" s="137" t="s">
        <v>336</v>
      </c>
      <c r="F446" s="137" t="s">
        <v>354</v>
      </c>
      <c r="G446" s="136" t="str">
        <f>VLOOKUP(A446,Plano_V3!$A$26:$G$592,7,0)</f>
        <v>3. Pendente de outros desenvolvimentos</v>
      </c>
      <c r="H446" s="136" t="s">
        <v>613</v>
      </c>
      <c r="I446" s="143"/>
      <c r="J446" s="153" t="str">
        <f>IF(VLOOKUP(A446,'Aux - pivots1'!$A:$E,3,0)=0, "",VLOOKUP(A446,'Aux - pivots1'!$A:$E,3,0))</f>
        <v/>
      </c>
      <c r="K446" s="153">
        <f>IF(VLOOKUP(A446,'Aux - pivots1'!$A:$E,4,0)=0, "",VLOOKUP(A446,'Aux - pivots1'!$A:$E,4,0))</f>
        <v>45621</v>
      </c>
      <c r="L446" s="153">
        <f>IF(VLOOKUP(A446,'Aux - pivots1'!$A:$E,5,0)=0, "",VLOOKUP(A446,'Aux - pivots1'!$A:$E,5,0))</f>
        <v>45596</v>
      </c>
      <c r="M446" s="208"/>
      <c r="N446" s="208"/>
      <c r="O446" s="342" t="s">
        <v>26</v>
      </c>
    </row>
    <row r="447" spans="1:15" ht="16.2" hidden="1" customHeight="1">
      <c r="A447" s="30" t="str">
        <f t="shared" si="7"/>
        <v>lt003_entitycntrprty_emssns_scp2</v>
      </c>
      <c r="B447" s="142" t="s">
        <v>26</v>
      </c>
      <c r="C447" s="138" t="s">
        <v>26</v>
      </c>
      <c r="D447" s="134" t="s">
        <v>40</v>
      </c>
      <c r="E447" s="137" t="s">
        <v>336</v>
      </c>
      <c r="F447" s="137" t="s">
        <v>355</v>
      </c>
      <c r="G447" s="136" t="str">
        <f>VLOOKUP(A447,Plano_V3!$A$26:$G$592,7,0)</f>
        <v>3. Pendente de outros desenvolvimentos</v>
      </c>
      <c r="H447" s="136" t="s">
        <v>613</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2" t="s">
        <v>26</v>
      </c>
    </row>
    <row r="448" spans="1:15" ht="16.2" hidden="1" customHeight="1">
      <c r="A448" s="30" t="str">
        <f t="shared" si="7"/>
        <v>lt003_entitycntrprty_emssns_scp3</v>
      </c>
      <c r="B448" s="142" t="s">
        <v>26</v>
      </c>
      <c r="C448" s="138" t="s">
        <v>26</v>
      </c>
      <c r="D448" s="134" t="s">
        <v>40</v>
      </c>
      <c r="E448" s="137" t="s">
        <v>336</v>
      </c>
      <c r="F448" s="137" t="s">
        <v>356</v>
      </c>
      <c r="G448" s="136" t="str">
        <f>VLOOKUP(A448,Plano_V3!$A$26:$G$592,7,0)</f>
        <v>3. Pendente de outros desenvolvimentos</v>
      </c>
      <c r="H448" s="136" t="s">
        <v>613</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2" t="s">
        <v>26</v>
      </c>
    </row>
    <row r="449" spans="1:15" ht="16.2" hidden="1" customHeight="1">
      <c r="A449" s="30" t="str">
        <f t="shared" si="7"/>
        <v>lt003_entityflg_excldd_eu_prs_algnd_bnchmrk</v>
      </c>
      <c r="B449" s="142" t="s">
        <v>26</v>
      </c>
      <c r="C449" s="138" t="s">
        <v>26</v>
      </c>
      <c r="D449" s="134" t="s">
        <v>40</v>
      </c>
      <c r="E449" s="137" t="s">
        <v>336</v>
      </c>
      <c r="F449" s="137" t="s">
        <v>357</v>
      </c>
      <c r="G449" s="136" t="str">
        <f>VLOOKUP(A449,Plano_V3!$A$26:$G$592,7,0)</f>
        <v>1. Concluído</v>
      </c>
      <c r="H449" s="136" t="s">
        <v>613</v>
      </c>
      <c r="I449" s="143"/>
      <c r="J449" s="153" t="str">
        <f>IF(VLOOKUP(A449,'Aux - pivots1'!$A:$E,3,0)=0, "",VLOOKUP(A449,'Aux - pivots1'!$A:$E,3,0))</f>
        <v/>
      </c>
      <c r="K449" s="153">
        <f>IF(VLOOKUP(A449,'Aux - pivots1'!$A:$E,4,0)=0, "",VLOOKUP(A449,'Aux - pivots1'!$A:$E,4,0))</f>
        <v>45614</v>
      </c>
      <c r="L449" s="153">
        <f>IF(VLOOKUP(A449,'Aux - pivots1'!$A:$E,5,0)=0, "",VLOOKUP(A449,'Aux - pivots1'!$A:$E,5,0))</f>
        <v>45596</v>
      </c>
      <c r="M449" s="208"/>
      <c r="N449" s="208"/>
      <c r="O449" s="342" t="s">
        <v>26</v>
      </c>
    </row>
    <row r="450" spans="1:15" ht="16.2" hidden="1" customHeight="1">
      <c r="A450" s="30" t="str">
        <f t="shared" si="7"/>
        <v>lt003_entityflg_act_physcl_rsk</v>
      </c>
      <c r="B450" s="142" t="s">
        <v>26</v>
      </c>
      <c r="C450" s="138" t="s">
        <v>26</v>
      </c>
      <c r="D450" s="134" t="s">
        <v>40</v>
      </c>
      <c r="E450" s="137" t="s">
        <v>336</v>
      </c>
      <c r="F450" s="137" t="s">
        <v>358</v>
      </c>
      <c r="G450" s="136" t="str">
        <f>VLOOKUP(A450,Plano_V3!$A$26:$G$592,7,0)</f>
        <v>1. Concluído</v>
      </c>
      <c r="H450" s="136" t="s">
        <v>613</v>
      </c>
      <c r="I450" s="143"/>
      <c r="J450" s="153">
        <f>IF(VLOOKUP(A450,'Aux - pivots1'!$A:$E,3,0)=0, "",VLOOKUP(A450,'Aux - pivots1'!$A:$E,3,0))</f>
        <v>45589</v>
      </c>
      <c r="K450" s="153" t="str">
        <f>IF(VLOOKUP(A450,'Aux - pivots1'!$A:$E,4,0)=0, "",VLOOKUP(A450,'Aux - pivots1'!$A:$E,4,0))</f>
        <v/>
      </c>
      <c r="L450" s="153">
        <f>IF(VLOOKUP(A450,'Aux - pivots1'!$A:$E,5,0)=0, "",VLOOKUP(A450,'Aux - pivots1'!$A:$E,5,0))</f>
        <v>45596</v>
      </c>
      <c r="M450" s="208"/>
      <c r="N450" s="208"/>
      <c r="O450" s="342" t="s">
        <v>26</v>
      </c>
    </row>
    <row r="451" spans="1:15" ht="16.2" hidden="1" customHeight="1">
      <c r="A451" s="30" t="str">
        <f t="shared" si="7"/>
        <v>lt003_entityflg_chrnc_physcl_rsk</v>
      </c>
      <c r="B451" s="142" t="s">
        <v>26</v>
      </c>
      <c r="C451" s="138" t="s">
        <v>26</v>
      </c>
      <c r="D451" s="134" t="s">
        <v>40</v>
      </c>
      <c r="E451" s="137" t="s">
        <v>336</v>
      </c>
      <c r="F451" s="137" t="s">
        <v>359</v>
      </c>
      <c r="G451" s="136" t="str">
        <f>VLOOKUP(A451,Plano_V3!$A$26:$G$592,7,0)</f>
        <v>1. Concluído</v>
      </c>
      <c r="H451" s="136" t="s">
        <v>613</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2" t="s">
        <v>26</v>
      </c>
    </row>
    <row r="452" spans="1:15" ht="16.2" hidden="1" customHeight="1">
      <c r="A452" s="30" t="str">
        <f t="shared" si="7"/>
        <v>lt003_entitypst_cd</v>
      </c>
      <c r="B452" s="142" t="s">
        <v>26</v>
      </c>
      <c r="C452" s="138" t="s">
        <v>26</v>
      </c>
      <c r="D452" s="134" t="s">
        <v>40</v>
      </c>
      <c r="E452" s="137" t="s">
        <v>336</v>
      </c>
      <c r="F452" s="137" t="s">
        <v>360</v>
      </c>
      <c r="G452" s="136" t="str">
        <f>VLOOKUP(A452,Plano_V3!$A$26:$G$592,7,0)</f>
        <v>1. Concluído</v>
      </c>
      <c r="H452" s="136" t="s">
        <v>613</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8"/>
      <c r="N452" s="208"/>
      <c r="O452" s="342" t="s">
        <v>26</v>
      </c>
    </row>
    <row r="453" spans="1:15" ht="16.2" hidden="1" customHeight="1">
      <c r="A453" s="30" t="str">
        <f t="shared" si="7"/>
        <v>lt003_entityesg_sbsctr</v>
      </c>
      <c r="B453" s="142" t="s">
        <v>26</v>
      </c>
      <c r="C453" s="138" t="s">
        <v>26</v>
      </c>
      <c r="D453" s="134" t="s">
        <v>40</v>
      </c>
      <c r="E453" s="137" t="s">
        <v>336</v>
      </c>
      <c r="F453" s="137" t="s">
        <v>361</v>
      </c>
      <c r="G453" s="136" t="str">
        <f>VLOOKUP(A453,Plano_V3!$A$26:$G$592,7,0)</f>
        <v>1. Concluído</v>
      </c>
      <c r="H453" s="136" t="s">
        <v>613</v>
      </c>
      <c r="I453" s="143"/>
      <c r="J453" s="153">
        <f>IF(VLOOKUP(A453,'Aux - pivots1'!$A:$E,3,0)=0, "",VLOOKUP(A453,'Aux - pivots1'!$A:$E,3,0))</f>
        <v>45583</v>
      </c>
      <c r="K453" s="153">
        <f>IF(VLOOKUP(A453,'Aux - pivots1'!$A:$E,4,0)=0, "",VLOOKUP(A453,'Aux - pivots1'!$A:$E,4,0))</f>
        <v>45611</v>
      </c>
      <c r="L453" s="153">
        <f>IF(VLOOKUP(A453,'Aux - pivots1'!$A:$E,5,0)=0, "",VLOOKUP(A453,'Aux - pivots1'!$A:$E,5,0))</f>
        <v>45644</v>
      </c>
      <c r="M453" s="208"/>
      <c r="N453" s="208"/>
      <c r="O453" s="342" t="s">
        <v>26</v>
      </c>
    </row>
    <row r="454" spans="1:15" ht="16.2" hidden="1" customHeight="1">
      <c r="A454" s="30" t="str">
        <f t="shared" si="7"/>
        <v>lt003_entityttl_lblty</v>
      </c>
      <c r="B454" s="142" t="s">
        <v>26</v>
      </c>
      <c r="C454" s="138" t="s">
        <v>26</v>
      </c>
      <c r="D454" s="134" t="s">
        <v>40</v>
      </c>
      <c r="E454" s="137" t="s">
        <v>336</v>
      </c>
      <c r="F454" s="137" t="s">
        <v>362</v>
      </c>
      <c r="G454" s="136" t="str">
        <f>VLOOKUP(A454,Plano_V3!$A$26:$G$592,7,0)</f>
        <v>1. Concluído</v>
      </c>
      <c r="H454" s="136" t="s">
        <v>613</v>
      </c>
      <c r="I454" s="143"/>
      <c r="J454" s="153">
        <f>IF(VLOOKUP(A454,'Aux - pivots1'!$A:$E,3,0)=0, "",VLOOKUP(A454,'Aux - pivots1'!$A:$E,3,0))</f>
        <v>45593</v>
      </c>
      <c r="K454" s="153">
        <f>IF(VLOOKUP(A454,'Aux - pivots1'!$A:$E,4,0)=0, "",VLOOKUP(A454,'Aux - pivots1'!$A:$E,4,0))</f>
        <v>45624</v>
      </c>
      <c r="L454" s="153">
        <f>IF(VLOOKUP(A454,'Aux - pivots1'!$A:$E,5,0)=0, "",VLOOKUP(A454,'Aux - pivots1'!$A:$E,5,0))</f>
        <v>45644</v>
      </c>
      <c r="M454" s="208">
        <v>45593</v>
      </c>
      <c r="N454" s="208"/>
      <c r="O454" s="342" t="s">
        <v>26</v>
      </c>
    </row>
    <row r="455" spans="1:15" ht="16.2" hidden="1" customHeight="1">
      <c r="A455" s="30" t="str">
        <f t="shared" si="7"/>
        <v>lt003_entityisin</v>
      </c>
      <c r="B455" s="142" t="s">
        <v>26</v>
      </c>
      <c r="C455" s="138" t="s">
        <v>26</v>
      </c>
      <c r="D455" s="134" t="s">
        <v>40</v>
      </c>
      <c r="E455" s="137" t="s">
        <v>336</v>
      </c>
      <c r="F455" s="137" t="s">
        <v>239</v>
      </c>
      <c r="G455" s="136" t="str">
        <f>VLOOKUP(A455,Plano_V3!$A$26:$G$592,7,0)</f>
        <v>1. Concluído</v>
      </c>
      <c r="H455" s="136" t="s">
        <v>613</v>
      </c>
      <c r="I455" s="143"/>
      <c r="J455" s="153">
        <f>IF(VLOOKUP(A455,'Aux - pivots1'!$A:$E,3,0)=0, "",VLOOKUP(A455,'Aux - pivots1'!$A:$E,3,0))</f>
        <v>45589</v>
      </c>
      <c r="K455" s="153" t="str">
        <f>IF(VLOOKUP(A455,'Aux - pivots1'!$A:$E,4,0)=0, "",VLOOKUP(A455,'Aux - pivots1'!$A:$E,4,0))</f>
        <v/>
      </c>
      <c r="L455" s="153">
        <f>IF(VLOOKUP(A455,'Aux - pivots1'!$A:$E,5,0)=0, "",VLOOKUP(A455,'Aux - pivots1'!$A:$E,5,0))</f>
        <v>45611</v>
      </c>
      <c r="M455" s="208">
        <v>45588</v>
      </c>
      <c r="N455" s="208"/>
      <c r="O455" s="342" t="s">
        <v>26</v>
      </c>
    </row>
    <row r="456" spans="1:15" ht="16.2" hidden="1" customHeight="1">
      <c r="A456" s="30" t="str">
        <f t="shared" si="7"/>
        <v>lt003_entitygrp_annl_trnvr_le</v>
      </c>
      <c r="B456" s="142" t="s">
        <v>26</v>
      </c>
      <c r="C456" s="138" t="s">
        <v>26</v>
      </c>
      <c r="D456" s="134" t="s">
        <v>40</v>
      </c>
      <c r="E456" s="137" t="s">
        <v>336</v>
      </c>
      <c r="F456" s="137" t="s">
        <v>363</v>
      </c>
      <c r="G456" s="136" t="str">
        <f>VLOOKUP(A456,Plano_V3!$A$26:$G$592,7,0)</f>
        <v>1. Concluído</v>
      </c>
      <c r="H456" s="136" t="s">
        <v>613</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8">
        <v>45593</v>
      </c>
      <c r="N456" s="208"/>
      <c r="O456" s="342" t="s">
        <v>26</v>
      </c>
    </row>
    <row r="457" spans="1:15" ht="16.2" hidden="1" customHeight="1">
      <c r="A457" s="30" t="str">
        <f t="shared" si="7"/>
        <v>lt003_entitygrp_ttl_lblty</v>
      </c>
      <c r="B457" s="142" t="s">
        <v>26</v>
      </c>
      <c r="C457" s="138" t="s">
        <v>26</v>
      </c>
      <c r="D457" s="134" t="s">
        <v>40</v>
      </c>
      <c r="E457" s="137" t="s">
        <v>336</v>
      </c>
      <c r="F457" s="137" t="s">
        <v>364</v>
      </c>
      <c r="G457" s="136" t="str">
        <f>VLOOKUP(A457,Plano_V3!$A$26:$G$592,7,0)</f>
        <v>1. Concluído</v>
      </c>
      <c r="H457" s="136" t="s">
        <v>613</v>
      </c>
      <c r="I457" s="143"/>
      <c r="J457" s="153">
        <f>IF(VLOOKUP(A457,'Aux - pivots1'!$A:$E,3,0)=0, "",VLOOKUP(A457,'Aux - pivots1'!$A:$E,3,0))</f>
        <v>45593</v>
      </c>
      <c r="K457" s="153">
        <f>IF(VLOOKUP(A457,'Aux - pivots1'!$A:$E,4,0)=0, "",VLOOKUP(A457,'Aux - pivots1'!$A:$E,4,0))</f>
        <v>45611</v>
      </c>
      <c r="L457" s="153">
        <f>IF(VLOOKUP(A457,'Aux - pivots1'!$A:$E,5,0)=0, "",VLOOKUP(A457,'Aux - pivots1'!$A:$E,5,0))</f>
        <v>45644</v>
      </c>
      <c r="M457" s="208">
        <v>45593</v>
      </c>
      <c r="N457" s="208"/>
      <c r="O457" s="342" t="s">
        <v>26</v>
      </c>
    </row>
    <row r="458" spans="1:15" ht="16.2" hidden="1" customHeight="1">
      <c r="A458" s="30" t="str">
        <f t="shared" si="7"/>
        <v>lt003_entityflg_grp_nfrd_applcblty</v>
      </c>
      <c r="B458" s="142" t="s">
        <v>26</v>
      </c>
      <c r="C458" s="138" t="s">
        <v>26</v>
      </c>
      <c r="D458" s="134" t="s">
        <v>40</v>
      </c>
      <c r="E458" s="137" t="s">
        <v>336</v>
      </c>
      <c r="F458" s="137" t="s">
        <v>365</v>
      </c>
      <c r="G458" s="136" t="str">
        <f>VLOOKUP(A458,Plano_V3!$A$26:$G$592,7,0)</f>
        <v>1. Concluído</v>
      </c>
      <c r="H458" s="136" t="s">
        <v>613</v>
      </c>
      <c r="I458" s="143"/>
      <c r="J458" s="153">
        <f>IF(VLOOKUP(A458,'Aux - pivots1'!$A:$E,3,0)=0, "",VLOOKUP(A458,'Aux - pivots1'!$A:$E,3,0))</f>
        <v>45589</v>
      </c>
      <c r="K458" s="153" t="str">
        <f>IF(VLOOKUP(A458,'Aux - pivots1'!$A:$E,4,0)=0, "",VLOOKUP(A458,'Aux - pivots1'!$A:$E,4,0))</f>
        <v/>
      </c>
      <c r="L458" s="153">
        <f>IF(VLOOKUP(A458,'Aux - pivots1'!$A:$E,5,0)=0, "",VLOOKUP(A458,'Aux - pivots1'!$A:$E,5,0))</f>
        <v>45596</v>
      </c>
      <c r="M458" s="208">
        <v>45588</v>
      </c>
      <c r="N458" s="208"/>
      <c r="O458" s="342" t="s">
        <v>26</v>
      </c>
    </row>
    <row r="459" spans="1:15" ht="16.2" hidden="1" customHeight="1">
      <c r="A459" s="30" t="str">
        <f t="shared" si="7"/>
        <v>lt003_entitygrp_emssns_scp1</v>
      </c>
      <c r="B459" s="142" t="s">
        <v>26</v>
      </c>
      <c r="C459" s="138" t="s">
        <v>26</v>
      </c>
      <c r="D459" s="134" t="s">
        <v>40</v>
      </c>
      <c r="E459" s="137" t="s">
        <v>336</v>
      </c>
      <c r="F459" s="137" t="s">
        <v>366</v>
      </c>
      <c r="G459" s="136" t="str">
        <f>VLOOKUP(A459,Plano_V3!$A$26:$G$592,7,0)</f>
        <v>3. Pendente de outros desenvolvimentos</v>
      </c>
      <c r="H459" s="136" t="s">
        <v>613</v>
      </c>
      <c r="I459" s="143"/>
      <c r="J459" s="153">
        <f>IF(VLOOKUP(A459,'Aux - pivots1'!$A:$E,3,0)=0, "",VLOOKUP(A459,'Aux - pivots1'!$A:$E,3,0))</f>
        <v>45589</v>
      </c>
      <c r="K459" s="153" t="str">
        <f>IF(VLOOKUP(A459,'Aux - pivots1'!$A:$E,4,0)=0, "",VLOOKUP(A459,'Aux - pivots1'!$A:$E,4,0))</f>
        <v/>
      </c>
      <c r="L459" s="153">
        <f>IF(VLOOKUP(A459,'Aux - pivots1'!$A:$E,5,0)=0, "",VLOOKUP(A459,'Aux - pivots1'!$A:$E,5,0))</f>
        <v>45644</v>
      </c>
      <c r="M459" s="208">
        <v>45588</v>
      </c>
      <c r="N459" s="208"/>
      <c r="O459" s="342" t="s">
        <v>26</v>
      </c>
    </row>
    <row r="460" spans="1:15" ht="16.2" hidden="1" customHeight="1">
      <c r="A460" s="30" t="str">
        <f t="shared" si="7"/>
        <v>lt003_entitygrp_emssns_scp2</v>
      </c>
      <c r="B460" s="142" t="s">
        <v>26</v>
      </c>
      <c r="C460" s="138" t="s">
        <v>26</v>
      </c>
      <c r="D460" s="134" t="s">
        <v>40</v>
      </c>
      <c r="E460" s="137" t="s">
        <v>336</v>
      </c>
      <c r="F460" s="137" t="s">
        <v>367</v>
      </c>
      <c r="G460" s="136" t="str">
        <f>VLOOKUP(A460,Plano_V3!$A$26:$G$592,7,0)</f>
        <v>3. Pendente de outros desenvolvimentos</v>
      </c>
      <c r="H460" s="136" t="s">
        <v>613</v>
      </c>
      <c r="I460" s="143"/>
      <c r="J460" s="153">
        <f>IF(VLOOKUP(A460,'Aux - pivots1'!$A:$E,3,0)=0, "",VLOOKUP(A460,'Aux - pivots1'!$A:$E,3,0))</f>
        <v>45589</v>
      </c>
      <c r="K460" s="153" t="str">
        <f>IF(VLOOKUP(A460,'Aux - pivots1'!$A:$E,4,0)=0, "",VLOOKUP(A460,'Aux - pivots1'!$A:$E,4,0))</f>
        <v/>
      </c>
      <c r="L460" s="153">
        <f>IF(VLOOKUP(A460,'Aux - pivots1'!$A:$E,5,0)=0, "",VLOOKUP(A460,'Aux - pivots1'!$A:$E,5,0))</f>
        <v>45644</v>
      </c>
      <c r="M460" s="208">
        <v>45588</v>
      </c>
      <c r="N460" s="208"/>
      <c r="O460" s="342" t="s">
        <v>26</v>
      </c>
    </row>
    <row r="461" spans="1:15" ht="16.2" hidden="1" customHeight="1">
      <c r="A461" s="30" t="str">
        <f t="shared" si="7"/>
        <v>lt003_entitygrp_emssns_scp3</v>
      </c>
      <c r="B461" s="142" t="s">
        <v>26</v>
      </c>
      <c r="C461" s="138" t="s">
        <v>26</v>
      </c>
      <c r="D461" s="134" t="s">
        <v>40</v>
      </c>
      <c r="E461" s="137" t="s">
        <v>336</v>
      </c>
      <c r="F461" s="137" t="s">
        <v>368</v>
      </c>
      <c r="G461" s="136" t="str">
        <f>VLOOKUP(A461,Plano_V3!$A$26:$G$592,7,0)</f>
        <v>3. Pendente de outros desenvolvimentos</v>
      </c>
      <c r="H461" s="136" t="s">
        <v>613</v>
      </c>
      <c r="I461" s="143"/>
      <c r="J461" s="153">
        <f>IF(VLOOKUP(A461,'Aux - pivots1'!$A:$E,3,0)=0, "",VLOOKUP(A461,'Aux - pivots1'!$A:$E,3,0))</f>
        <v>45589</v>
      </c>
      <c r="K461" s="153" t="str">
        <f>IF(VLOOKUP(A461,'Aux - pivots1'!$A:$E,4,0)=0, "",VLOOKUP(A461,'Aux - pivots1'!$A:$E,4,0))</f>
        <v/>
      </c>
      <c r="L461" s="153">
        <f>IF(VLOOKUP(A461,'Aux - pivots1'!$A:$E,5,0)=0, "",VLOOKUP(A461,'Aux - pivots1'!$A:$E,5,0))</f>
        <v>45644</v>
      </c>
      <c r="M461" s="208">
        <v>45588</v>
      </c>
      <c r="N461" s="208"/>
      <c r="O461" s="342" t="s">
        <v>26</v>
      </c>
    </row>
    <row r="462" spans="1:15" ht="16.2" hidden="1" customHeight="1">
      <c r="A462" s="30" t="str">
        <f t="shared" si="7"/>
        <v>lt004_protectiontyp_ep_scr</v>
      </c>
      <c r="B462" s="142" t="s">
        <v>26</v>
      </c>
      <c r="C462" s="138" t="s">
        <v>26</v>
      </c>
      <c r="D462" s="134" t="s">
        <v>40</v>
      </c>
      <c r="E462" s="137" t="s">
        <v>369</v>
      </c>
      <c r="F462" s="317" t="s">
        <v>370</v>
      </c>
      <c r="G462" s="136" t="str">
        <f>VLOOKUP(A462,Plano_V3!$A$26:$G$592,7,0)</f>
        <v>1. Concluído</v>
      </c>
      <c r="H462" s="136" t="s">
        <v>613</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8"/>
      <c r="N462" s="208"/>
      <c r="O462" s="342" t="s">
        <v>26</v>
      </c>
    </row>
    <row r="463" spans="1:15" ht="16.2" hidden="1" customHeight="1">
      <c r="A463" s="30" t="str">
        <f t="shared" si="7"/>
        <v>lt004_protectionep_scr</v>
      </c>
      <c r="B463" s="142" t="s">
        <v>26</v>
      </c>
      <c r="C463" s="138" t="s">
        <v>26</v>
      </c>
      <c r="D463" s="134" t="s">
        <v>40</v>
      </c>
      <c r="E463" s="137" t="s">
        <v>369</v>
      </c>
      <c r="F463" s="317" t="s">
        <v>371</v>
      </c>
      <c r="G463" s="136" t="str">
        <f>VLOOKUP(A463,Plano_V3!$A$26:$G$592,7,0)</f>
        <v>1. Concluído</v>
      </c>
      <c r="H463" s="136" t="s">
        <v>616</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8"/>
      <c r="N463" s="208"/>
      <c r="O463" s="342" t="s">
        <v>26</v>
      </c>
    </row>
    <row r="464" spans="1:15" ht="16.2" hidden="1" customHeight="1">
      <c r="A464" s="30" t="str">
        <f t="shared" si="7"/>
        <v>lt004_protectiontyp_epc_lbl</v>
      </c>
      <c r="B464" s="142" t="s">
        <v>26</v>
      </c>
      <c r="C464" s="138" t="s">
        <v>26</v>
      </c>
      <c r="D464" s="134" t="s">
        <v>40</v>
      </c>
      <c r="E464" s="137" t="s">
        <v>369</v>
      </c>
      <c r="F464" s="317" t="s">
        <v>372</v>
      </c>
      <c r="G464" s="136" t="str">
        <f>VLOOKUP(A464,Plano_V3!$A$26:$G$592,7,0)</f>
        <v>1. Concluído</v>
      </c>
      <c r="H464" s="136" t="s">
        <v>613</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2" t="s">
        <v>26</v>
      </c>
    </row>
    <row r="465" spans="1:15" ht="16.2" hidden="1" customHeight="1">
      <c r="A465" s="30" t="str">
        <f t="shared" si="7"/>
        <v>lt004_protectionepc_lbl</v>
      </c>
      <c r="B465" s="142" t="s">
        <v>26</v>
      </c>
      <c r="C465" s="138" t="s">
        <v>26</v>
      </c>
      <c r="D465" s="134" t="s">
        <v>40</v>
      </c>
      <c r="E465" s="137" t="s">
        <v>369</v>
      </c>
      <c r="F465" s="317" t="s">
        <v>373</v>
      </c>
      <c r="G465" s="136" t="str">
        <f>VLOOKUP(A465,Plano_V3!$A$26:$G$592,7,0)</f>
        <v>1. Concluído</v>
      </c>
      <c r="H465" s="136" t="s">
        <v>616</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2" t="s">
        <v>26</v>
      </c>
    </row>
    <row r="466" spans="1:15" ht="16.2" hidden="1" customHeight="1">
      <c r="A466" s="30" t="str">
        <f t="shared" si="7"/>
        <v>lt004_protectionemssns_scp1_prtctn</v>
      </c>
      <c r="B466" s="142" t="s">
        <v>26</v>
      </c>
      <c r="C466" s="138" t="s">
        <v>26</v>
      </c>
      <c r="D466" s="134" t="s">
        <v>40</v>
      </c>
      <c r="E466" s="137" t="s">
        <v>369</v>
      </c>
      <c r="F466" s="317" t="s">
        <v>374</v>
      </c>
      <c r="G466" s="318" t="str">
        <f>VLOOKUP(A466,Plano_V3!$A$26:$G$592,7,0)</f>
        <v>1. Concluído</v>
      </c>
      <c r="H466" s="136" t="s">
        <v>1921</v>
      </c>
      <c r="I466" s="143"/>
      <c r="J466" s="153" t="str">
        <f>IF(VLOOKUP(A466,'Aux - pivots1'!$A:$E,3,0)=0, "",VLOOKUP(A466,'Aux - pivots1'!$A:$E,3,0))</f>
        <v/>
      </c>
      <c r="K466" s="153">
        <f>IF(VLOOKUP(A466,'Aux - pivots1'!$A:$E,4,0)=0, "",VLOOKUP(A466,'Aux - pivots1'!$A:$E,4,0))</f>
        <v>45631</v>
      </c>
      <c r="L466" s="153">
        <f>IF(VLOOKUP(A466,'Aux - pivots1'!$A:$E,5,0)=0, "",VLOOKUP(A466,'Aux - pivots1'!$A:$E,5,0))</f>
        <v>45631</v>
      </c>
      <c r="M466" s="208"/>
      <c r="N466" s="208"/>
      <c r="O466" s="342" t="s">
        <v>26</v>
      </c>
    </row>
    <row r="467" spans="1:15" ht="16.2" hidden="1" customHeight="1">
      <c r="A467" s="30" t="str">
        <f t="shared" ref="A467:A535" si="8">E467&amp;F467</f>
        <v>lt004_protectionemssns_scp2_prtctn</v>
      </c>
      <c r="B467" s="142" t="s">
        <v>26</v>
      </c>
      <c r="C467" s="138" t="s">
        <v>26</v>
      </c>
      <c r="D467" s="134" t="s">
        <v>40</v>
      </c>
      <c r="E467" s="137" t="s">
        <v>369</v>
      </c>
      <c r="F467" s="317" t="s">
        <v>375</v>
      </c>
      <c r="G467" s="318" t="str">
        <f>VLOOKUP(A467,Plano_V3!$A$26:$G$592,7,0)</f>
        <v>1. Concluído</v>
      </c>
      <c r="H467" s="136" t="s">
        <v>1921</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2" t="s">
        <v>26</v>
      </c>
    </row>
    <row r="468" spans="1:15" ht="16.2" hidden="1" customHeight="1">
      <c r="A468" s="30" t="str">
        <f t="shared" si="8"/>
        <v>lt004_protectionemssns_scp3_prtctn</v>
      </c>
      <c r="B468" s="142" t="s">
        <v>26</v>
      </c>
      <c r="C468" s="138" t="s">
        <v>26</v>
      </c>
      <c r="D468" s="134" t="s">
        <v>40</v>
      </c>
      <c r="E468" s="137" t="s">
        <v>369</v>
      </c>
      <c r="F468" s="317" t="s">
        <v>376</v>
      </c>
      <c r="G468" s="318" t="str">
        <f>VLOOKUP(A468,Plano_V3!$A$26:$G$592,7,0)</f>
        <v>1. Concluído</v>
      </c>
      <c r="H468" s="136" t="s">
        <v>1921</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2" t="s">
        <v>26</v>
      </c>
    </row>
    <row r="469" spans="1:15" ht="16.2" hidden="1" customHeight="1">
      <c r="A469" s="30" t="str">
        <f t="shared" si="8"/>
        <v>lt004_protectionmthd_usd_prtctn_scp_1</v>
      </c>
      <c r="B469" s="142" t="s">
        <v>26</v>
      </c>
      <c r="C469" s="138" t="s">
        <v>26</v>
      </c>
      <c r="D469" s="134" t="s">
        <v>40</v>
      </c>
      <c r="E469" s="137" t="s">
        <v>369</v>
      </c>
      <c r="F469" s="317" t="s">
        <v>377</v>
      </c>
      <c r="G469" s="318" t="str">
        <f>VLOOKUP(A469,Plano_V3!$A$26:$G$592,7,0)</f>
        <v>1. Concluído</v>
      </c>
      <c r="H469" s="136" t="s">
        <v>1921</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2" t="s">
        <v>26</v>
      </c>
    </row>
    <row r="470" spans="1:15" ht="16.2" hidden="1" customHeight="1">
      <c r="A470" s="30" t="str">
        <f t="shared" si="8"/>
        <v>lt004_protectionmthd_usd_prtctn_scp_2</v>
      </c>
      <c r="B470" s="142" t="s">
        <v>26</v>
      </c>
      <c r="C470" s="138" t="s">
        <v>26</v>
      </c>
      <c r="D470" s="134" t="s">
        <v>40</v>
      </c>
      <c r="E470" s="137" t="s">
        <v>369</v>
      </c>
      <c r="F470" s="317" t="s">
        <v>378</v>
      </c>
      <c r="G470" s="318" t="str">
        <f>VLOOKUP(A470,Plano_V3!$A$26:$G$592,7,0)</f>
        <v>1. Concluído</v>
      </c>
      <c r="H470" s="136" t="s">
        <v>1921</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2" t="s">
        <v>26</v>
      </c>
    </row>
    <row r="471" spans="1:15" ht="16.2" hidden="1" customHeight="1">
      <c r="A471" s="30" t="str">
        <f t="shared" si="8"/>
        <v>lt004_protectionmthd_usd_prtctn_scp_3</v>
      </c>
      <c r="B471" s="142" t="s">
        <v>26</v>
      </c>
      <c r="C471" s="138" t="s">
        <v>26</v>
      </c>
      <c r="D471" s="134" t="s">
        <v>40</v>
      </c>
      <c r="E471" s="137" t="s">
        <v>369</v>
      </c>
      <c r="F471" s="317" t="s">
        <v>379</v>
      </c>
      <c r="G471" s="318" t="str">
        <f>VLOOKUP(A471,Plano_V3!$A$26:$G$592,7,0)</f>
        <v>1. Concluído</v>
      </c>
      <c r="H471" s="136" t="s">
        <v>1921</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2" t="s">
        <v>26</v>
      </c>
    </row>
    <row r="472" spans="1:15" ht="16.2" hidden="1" customHeight="1">
      <c r="A472" s="30" t="str">
        <f t="shared" si="8"/>
        <v>lt004_protectionflg_act_physcl_rsk</v>
      </c>
      <c r="B472" s="142" t="s">
        <v>26</v>
      </c>
      <c r="C472" s="138" t="s">
        <v>26</v>
      </c>
      <c r="D472" s="134" t="s">
        <v>40</v>
      </c>
      <c r="E472" s="137" t="s">
        <v>369</v>
      </c>
      <c r="F472" s="317" t="s">
        <v>358</v>
      </c>
      <c r="G472" s="318" t="str">
        <f>VLOOKUP(A472,Plano_V3!$A$26:$G$592,7,0)</f>
        <v>1. Concluído</v>
      </c>
      <c r="H472" s="136" t="s">
        <v>613</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8"/>
      <c r="N472" s="208"/>
      <c r="O472" s="342" t="s">
        <v>26</v>
      </c>
    </row>
    <row r="473" spans="1:15" ht="16.2" hidden="1" customHeight="1">
      <c r="A473" s="30" t="str">
        <f t="shared" si="8"/>
        <v>lt004_protectionflg_chrnc_physcl_rsk</v>
      </c>
      <c r="B473" s="142" t="s">
        <v>26</v>
      </c>
      <c r="C473" s="138" t="s">
        <v>26</v>
      </c>
      <c r="D473" s="134" t="s">
        <v>40</v>
      </c>
      <c r="E473" s="137" t="s">
        <v>369</v>
      </c>
      <c r="F473" s="317" t="s">
        <v>359</v>
      </c>
      <c r="G473" s="318" t="str">
        <f>VLOOKUP(A473,Plano_V3!$A$26:$G$592,7,0)</f>
        <v>1. Concluído</v>
      </c>
      <c r="H473" s="136"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2" t="s">
        <v>26</v>
      </c>
    </row>
    <row r="474" spans="1:15" ht="16.2" hidden="1" customHeight="1">
      <c r="A474" s="30" t="str">
        <f t="shared" si="8"/>
        <v>lt002_instrumentrsk_mtgtd_cct</v>
      </c>
      <c r="B474" s="142" t="s">
        <v>26</v>
      </c>
      <c r="C474" s="138" t="s">
        <v>26</v>
      </c>
      <c r="D474" s="134" t="s">
        <v>40</v>
      </c>
      <c r="E474" s="137" t="s">
        <v>380</v>
      </c>
      <c r="F474" s="137" t="s">
        <v>381</v>
      </c>
      <c r="G474" s="136" t="str">
        <f>VLOOKUP(A474,Plano_V3!$A$26:$G$592,7,0)</f>
        <v>1. Concluído</v>
      </c>
      <c r="H474" s="136" t="s">
        <v>613</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8">
        <v>45595</v>
      </c>
      <c r="N474" s="208"/>
      <c r="O474" s="342" t="s">
        <v>26</v>
      </c>
    </row>
    <row r="475" spans="1:15" ht="16.2" hidden="1" customHeight="1">
      <c r="A475" s="30" t="str">
        <f t="shared" si="8"/>
        <v>lt002_instrumentrsk_mtgtd_ccp</v>
      </c>
      <c r="B475" s="142" t="s">
        <v>26</v>
      </c>
      <c r="C475" s="138" t="s">
        <v>26</v>
      </c>
      <c r="D475" s="134" t="s">
        <v>40</v>
      </c>
      <c r="E475" s="137" t="s">
        <v>380</v>
      </c>
      <c r="F475" s="137" t="s">
        <v>382</v>
      </c>
      <c r="G475" s="136" t="str">
        <f>VLOOKUP(A475,Plano_V3!$A$26:$G$592,7,0)</f>
        <v>4. Validação EF</v>
      </c>
      <c r="H475" s="136" t="s">
        <v>615</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8">
        <v>45595</v>
      </c>
      <c r="N475" s="208"/>
      <c r="O475" s="342" t="s">
        <v>26</v>
      </c>
    </row>
    <row r="476" spans="1:15" ht="16.2" hidden="1" customHeight="1">
      <c r="A476" s="30" t="str">
        <f t="shared" si="8"/>
        <v>lt007_instr_activityenvrnmntl_objctv</v>
      </c>
      <c r="B476" s="142" t="s">
        <v>26</v>
      </c>
      <c r="C476" s="138" t="s">
        <v>26</v>
      </c>
      <c r="D476" s="134" t="s">
        <v>40</v>
      </c>
      <c r="E476" s="137" t="s">
        <v>1948</v>
      </c>
      <c r="F476" s="137" t="s">
        <v>383</v>
      </c>
      <c r="G476" s="136" t="str">
        <f>VLOOKUP(A476,Plano_V3!$A$26:$G$592,7,0)</f>
        <v>1. Concluído</v>
      </c>
      <c r="H476" s="136" t="s">
        <v>613</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8">
        <v>45593</v>
      </c>
      <c r="N476" s="208"/>
      <c r="O476" s="342" t="s">
        <v>26</v>
      </c>
    </row>
    <row r="477" spans="1:15" ht="16.2" hidden="1" customHeight="1">
      <c r="A477" s="30" t="str">
        <f t="shared" si="8"/>
        <v>lt007_instr_activitytyp_actvty</v>
      </c>
      <c r="B477" s="142" t="s">
        <v>26</v>
      </c>
      <c r="C477" s="138" t="s">
        <v>26</v>
      </c>
      <c r="D477" s="134" t="s">
        <v>40</v>
      </c>
      <c r="E477" s="137" t="s">
        <v>1948</v>
      </c>
      <c r="F477" s="137" t="s">
        <v>384</v>
      </c>
      <c r="G477" s="136" t="str">
        <f>VLOOKUP(A477,Plano_V3!$A$26:$G$592,7,0)</f>
        <v>1. Concluído</v>
      </c>
      <c r="H477" s="136" t="s">
        <v>613</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2" t="s">
        <v>26</v>
      </c>
    </row>
    <row r="478" spans="1:15" ht="16.2" hidden="1" customHeight="1">
      <c r="A478" s="30" t="str">
        <f t="shared" si="8"/>
        <v>lt002_instrumentlns_clltrlzd_clssfctn</v>
      </c>
      <c r="B478" s="142" t="s">
        <v>26</v>
      </c>
      <c r="C478" s="138" t="s">
        <v>26</v>
      </c>
      <c r="D478" s="134" t="s">
        <v>40</v>
      </c>
      <c r="E478" s="137" t="s">
        <v>380</v>
      </c>
      <c r="F478" s="137" t="s">
        <v>385</v>
      </c>
      <c r="G478" s="136" t="str">
        <f>VLOOKUP(A478,Plano_V3!$A$26:$G$592,7,0)</f>
        <v>1. Concluído</v>
      </c>
      <c r="H478" s="136" t="s">
        <v>613</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8"/>
      <c r="N478" s="208"/>
      <c r="O478" s="342" t="s">
        <v>26</v>
      </c>
    </row>
    <row r="479" spans="1:15" ht="16.2" hidden="1">
      <c r="A479" s="30" t="str">
        <f t="shared" si="8"/>
        <v>lt002_instrumentmthd_usd_instrmnt_scp_1</v>
      </c>
      <c r="B479" s="142" t="s">
        <v>26</v>
      </c>
      <c r="C479" s="138" t="s">
        <v>26</v>
      </c>
      <c r="D479" s="134" t="s">
        <v>40</v>
      </c>
      <c r="E479" s="137" t="s">
        <v>380</v>
      </c>
      <c r="F479" s="137" t="s">
        <v>386</v>
      </c>
      <c r="G479" s="136" t="str">
        <f>VLOOKUP(A479,Plano_V3!$A$26:$G$592,7,0)</f>
        <v>3. Pendente de outros desenvolvimentos</v>
      </c>
      <c r="H479" s="136" t="s">
        <v>613</v>
      </c>
      <c r="I479" s="143"/>
      <c r="J479" s="153" t="str">
        <f>IF(VLOOKUP(A479,'Aux - pivots1'!$A:$E,3,0)=0, "",VLOOKUP(A479,'Aux - pivots1'!$A:$E,3,0))</f>
        <v/>
      </c>
      <c r="K479" s="153">
        <f>IF(VLOOKUP(A479,'Aux - pivots1'!$A:$E,4,0)=0, "",VLOOKUP(A479,'Aux - pivots1'!$A:$E,4,0))</f>
        <v>45631</v>
      </c>
      <c r="L479" s="153">
        <f>IF(VLOOKUP(A479,'Aux - pivots1'!$A:$E,5,0)=0, "",VLOOKUP(A479,'Aux - pivots1'!$A:$E,5,0))</f>
        <v>45631</v>
      </c>
      <c r="M479" s="208">
        <v>45593</v>
      </c>
      <c r="N479" s="208"/>
      <c r="O479" s="342" t="s">
        <v>26</v>
      </c>
    </row>
    <row r="480" spans="1:15" ht="16.2" hidden="1">
      <c r="A480" s="30" t="str">
        <f t="shared" si="8"/>
        <v>lt002_instrumentmthd_usd_instrmnt_scp_2</v>
      </c>
      <c r="B480" s="142" t="s">
        <v>26</v>
      </c>
      <c r="C480" s="138" t="s">
        <v>26</v>
      </c>
      <c r="D480" s="134" t="s">
        <v>40</v>
      </c>
      <c r="E480" s="137" t="s">
        <v>380</v>
      </c>
      <c r="F480" s="137" t="s">
        <v>387</v>
      </c>
      <c r="G480" s="136" t="str">
        <f>VLOOKUP(A480,Plano_V3!$A$26:$G$592,7,0)</f>
        <v>3. Pendente de outros desenvolvimentos</v>
      </c>
      <c r="H480" s="136" t="s">
        <v>613</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2" t="s">
        <v>26</v>
      </c>
    </row>
    <row r="481" spans="1:15" ht="16.2" hidden="1">
      <c r="A481" s="30" t="str">
        <f t="shared" si="8"/>
        <v>lt002_instrumentmthd_usd_instrmnt_scp_3</v>
      </c>
      <c r="B481" s="142" t="s">
        <v>26</v>
      </c>
      <c r="C481" s="138" t="s">
        <v>26</v>
      </c>
      <c r="D481" s="134" t="s">
        <v>40</v>
      </c>
      <c r="E481" s="137" t="s">
        <v>380</v>
      </c>
      <c r="F481" s="137" t="s">
        <v>388</v>
      </c>
      <c r="G481" s="136" t="str">
        <f>VLOOKUP(A481,Plano_V3!$A$26:$G$592,7,0)</f>
        <v>3. Pendente de outros desenvolvimentos</v>
      </c>
      <c r="H481" s="136" t="s">
        <v>613</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2" t="s">
        <v>26</v>
      </c>
    </row>
    <row r="482" spans="1:15" ht="16.2" hidden="1" customHeight="1">
      <c r="A482" s="30" t="str">
        <f t="shared" si="8"/>
        <v>lt002_instrumentsstnbl_ctgry_txnmy</v>
      </c>
      <c r="B482" s="142" t="s">
        <v>26</v>
      </c>
      <c r="C482" s="138" t="s">
        <v>26</v>
      </c>
      <c r="D482" s="134" t="s">
        <v>40</v>
      </c>
      <c r="E482" s="137" t="s">
        <v>380</v>
      </c>
      <c r="F482" s="137" t="s">
        <v>389</v>
      </c>
      <c r="G482" s="136" t="str">
        <f>VLOOKUP(A482,Plano_V3!$A$26:$G$592,7,0)</f>
        <v>1. Concluído</v>
      </c>
      <c r="H482" s="136" t="s">
        <v>613</v>
      </c>
      <c r="I482" s="143" t="s">
        <v>1927</v>
      </c>
      <c r="J482" s="153">
        <f>IF(VLOOKUP(A482,'Aux - pivots1'!$A:$E,3,0)=0, "",VLOOKUP(A482,'Aux - pivots1'!$A:$E,3,0))</f>
        <v>45593</v>
      </c>
      <c r="K482" s="153">
        <f>IF(VLOOKUP(A482,'Aux - pivots1'!$A:$E,4,0)=0, "",VLOOKUP(A482,'Aux - pivots1'!$A:$E,4,0))</f>
        <v>45611</v>
      </c>
      <c r="L482" s="153">
        <f>IF(VLOOKUP(A482,'Aux - pivots1'!$A:$E,5,0)=0, "",VLOOKUP(A482,'Aux - pivots1'!$A:$E,5,0))</f>
        <v>374329</v>
      </c>
      <c r="M482" s="208">
        <v>45593</v>
      </c>
      <c r="N482" s="208"/>
      <c r="O482" s="342" t="s">
        <v>26</v>
      </c>
    </row>
    <row r="483" spans="1:15" ht="16.2" hidden="1" customHeight="1">
      <c r="A483" s="30" t="str">
        <f t="shared" si="8"/>
        <v>lt827_mthd_usd_instrmntambito</v>
      </c>
      <c r="B483" s="142" t="s">
        <v>26</v>
      </c>
      <c r="C483" s="138" t="s">
        <v>26</v>
      </c>
      <c r="D483" s="134" t="s">
        <v>40</v>
      </c>
      <c r="E483" s="137" t="s">
        <v>1949</v>
      </c>
      <c r="F483" s="137" t="s">
        <v>391</v>
      </c>
      <c r="G483" s="136" t="str">
        <f>VLOOKUP(A483,Plano_V3!$A$26:$G$592,7,0)</f>
        <v>1. Concluído</v>
      </c>
      <c r="H483" s="136" t="s">
        <v>613</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8">
        <v>45593</v>
      </c>
      <c r="N483" s="208"/>
      <c r="O483" s="342" t="s">
        <v>26</v>
      </c>
    </row>
    <row r="484" spans="1:15" ht="16.2" hidden="1" customHeight="1">
      <c r="A484" s="30" t="str">
        <f t="shared" si="8"/>
        <v>lt827_mthd_usd_instrmntref_date</v>
      </c>
      <c r="B484" s="142" t="s">
        <v>26</v>
      </c>
      <c r="C484" s="138" t="s">
        <v>26</v>
      </c>
      <c r="D484" s="134" t="s">
        <v>40</v>
      </c>
      <c r="E484" s="137" t="s">
        <v>1949</v>
      </c>
      <c r="F484" s="137" t="s">
        <v>208</v>
      </c>
      <c r="G484" s="136" t="str">
        <f>VLOOKUP(A484,Plano_V3!$A$26:$G$592,7,0)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2" t="s">
        <v>26</v>
      </c>
    </row>
    <row r="485" spans="1:15" ht="16.2" hidden="1" customHeight="1">
      <c r="A485" s="30" t="str">
        <f t="shared" si="8"/>
        <v>lt827_mthd_usd_instrmntordem</v>
      </c>
      <c r="B485" s="142" t="s">
        <v>26</v>
      </c>
      <c r="C485" s="138" t="s">
        <v>26</v>
      </c>
      <c r="D485" s="134" t="s">
        <v>40</v>
      </c>
      <c r="E485" s="137" t="s">
        <v>1949</v>
      </c>
      <c r="F485" s="137" t="s">
        <v>211</v>
      </c>
      <c r="G485" s="136" t="str">
        <f>VLOOKUP(A485,Plano_V3!$A$26:$G$592,7,0)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2" t="s">
        <v>26</v>
      </c>
    </row>
    <row r="486" spans="1:15" ht="16.2" hidden="1" customHeight="1">
      <c r="A486" s="30" t="str">
        <f t="shared" si="8"/>
        <v>lt827_mthd_usd_instrmnttabela</v>
      </c>
      <c r="B486" s="142" t="s">
        <v>26</v>
      </c>
      <c r="C486" s="138" t="s">
        <v>26</v>
      </c>
      <c r="D486" s="134" t="s">
        <v>40</v>
      </c>
      <c r="E486" s="137" t="s">
        <v>1949</v>
      </c>
      <c r="F486" s="137" t="s">
        <v>392</v>
      </c>
      <c r="G486" s="136" t="str">
        <f>VLOOKUP(A486,Plano_V3!$A$26:$G$592,7,0)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2" t="s">
        <v>26</v>
      </c>
    </row>
    <row r="487" spans="1:15" ht="16.2" hidden="1">
      <c r="A487" s="30" t="str">
        <f t="shared" si="8"/>
        <v>lt827_mthd_usd_instrmntorigem_scp1_emss</v>
      </c>
      <c r="B487" s="142" t="s">
        <v>26</v>
      </c>
      <c r="C487" s="138" t="s">
        <v>26</v>
      </c>
      <c r="D487" s="134" t="s">
        <v>40</v>
      </c>
      <c r="E487" s="137" t="s">
        <v>1949</v>
      </c>
      <c r="F487" s="137" t="s">
        <v>320</v>
      </c>
      <c r="G487" s="136" t="str">
        <f>VLOOKUP(A487,Plano_V3!$A$26:$G$592,7,0)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2" t="s">
        <v>26</v>
      </c>
    </row>
    <row r="488" spans="1:15" ht="16.2" hidden="1">
      <c r="A488" s="30" t="str">
        <f t="shared" si="8"/>
        <v>lt827_mthd_usd_instrmntorigem_scp2_emss</v>
      </c>
      <c r="B488" s="142" t="s">
        <v>26</v>
      </c>
      <c r="C488" s="138" t="s">
        <v>26</v>
      </c>
      <c r="D488" s="134" t="s">
        <v>40</v>
      </c>
      <c r="E488" s="137" t="s">
        <v>1949</v>
      </c>
      <c r="F488" s="137" t="s">
        <v>321</v>
      </c>
      <c r="G488" s="136" t="str">
        <f>VLOOKUP(A488,Plano_V3!$A$26:$G$592,7,0)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2" t="s">
        <v>26</v>
      </c>
    </row>
    <row r="489" spans="1:15" ht="16.2" hidden="1">
      <c r="A489" s="30" t="str">
        <f t="shared" si="8"/>
        <v>lt827_mthd_usd_instrmntorigem_scp3_emss</v>
      </c>
      <c r="B489" s="142" t="s">
        <v>26</v>
      </c>
      <c r="C489" s="138" t="s">
        <v>26</v>
      </c>
      <c r="D489" s="134" t="s">
        <v>40</v>
      </c>
      <c r="E489" s="137" t="s">
        <v>1949</v>
      </c>
      <c r="F489" s="137" t="s">
        <v>322</v>
      </c>
      <c r="G489" s="136" t="str">
        <f>VLOOKUP(A489,Plano_V3!$A$26:$G$592,7,0)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2" t="s">
        <v>26</v>
      </c>
    </row>
    <row r="490" spans="1:15" ht="16.2" hidden="1">
      <c r="A490" s="30" t="str">
        <f t="shared" si="8"/>
        <v>lt827_mthd_usd_instrmntmthd_usd_instrmnt_scp_1</v>
      </c>
      <c r="B490" s="142" t="s">
        <v>26</v>
      </c>
      <c r="C490" s="138" t="s">
        <v>26</v>
      </c>
      <c r="D490" s="134" t="s">
        <v>40</v>
      </c>
      <c r="E490" s="137" t="s">
        <v>1949</v>
      </c>
      <c r="F490" s="137" t="s">
        <v>386</v>
      </c>
      <c r="G490" s="136" t="str">
        <f>VLOOKUP(A490,Plano_V3!$A$26:$G$592,7,0)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2" t="s">
        <v>26</v>
      </c>
    </row>
    <row r="491" spans="1:15" ht="16.2" hidden="1">
      <c r="A491" s="30" t="str">
        <f t="shared" si="8"/>
        <v>lt827_mthd_usd_instrmntmthd_usd_instrmnt_scp_2</v>
      </c>
      <c r="B491" s="142" t="s">
        <v>26</v>
      </c>
      <c r="C491" s="138" t="s">
        <v>26</v>
      </c>
      <c r="D491" s="134" t="s">
        <v>40</v>
      </c>
      <c r="E491" s="137" t="s">
        <v>1949</v>
      </c>
      <c r="F491" s="137" t="s">
        <v>387</v>
      </c>
      <c r="G491" s="136" t="str">
        <f>VLOOKUP(A491,Plano_V3!$A$26:$G$592,7,0)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2" t="s">
        <v>26</v>
      </c>
    </row>
    <row r="492" spans="1:15" ht="16.2" hidden="1">
      <c r="A492" s="30" t="str">
        <f t="shared" si="8"/>
        <v>lt827_mthd_usd_instrmntmthd_usd_instrmnt_scp_3</v>
      </c>
      <c r="B492" s="142" t="s">
        <v>26</v>
      </c>
      <c r="C492" s="138" t="s">
        <v>26</v>
      </c>
      <c r="D492" s="134" t="s">
        <v>40</v>
      </c>
      <c r="E492" s="137" t="s">
        <v>1949</v>
      </c>
      <c r="F492" s="137" t="s">
        <v>388</v>
      </c>
      <c r="G492" s="136" t="str">
        <f>VLOOKUP(A492,Plano_V3!$A$26:$G$592,7,0)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2" t="s">
        <v>26</v>
      </c>
    </row>
    <row r="493" spans="1:15" ht="16.2" hidden="1">
      <c r="A493" s="30" t="str">
        <f t="shared" si="8"/>
        <v>lt827_mthd_usd_instrmntpurpose_code</v>
      </c>
      <c r="B493" s="142" t="s">
        <v>26</v>
      </c>
      <c r="C493" s="138" t="s">
        <v>26</v>
      </c>
      <c r="D493" s="134" t="s">
        <v>40</v>
      </c>
      <c r="E493" s="137" t="s">
        <v>1949</v>
      </c>
      <c r="F493" s="137" t="s">
        <v>1933</v>
      </c>
      <c r="G493" s="136" t="str">
        <f>VLOOKUP(A493,Plano_V3!$A$26:$G$592,7,0)</f>
        <v>1. Concluído</v>
      </c>
      <c r="H493" s="136" t="s">
        <v>613</v>
      </c>
      <c r="I493" s="143"/>
      <c r="J493" s="153" t="str">
        <f>IF(VLOOKUP(A493,'Aux - pivots1'!$A:$E,3,0)=0, "",VLOOKUP(A493,'Aux - pivots1'!$A:$E,3,0))</f>
        <v/>
      </c>
      <c r="K493" s="153">
        <f>IF(VLOOKUP(A493,'Aux - pivots1'!$A:$E,4,0)=0, "",VLOOKUP(A493,'Aux - pivots1'!$A:$E,4,0))</f>
        <v>45611</v>
      </c>
      <c r="L493" s="153">
        <f>IF(VLOOKUP(A493,'Aux - pivots1'!$A:$E,5,0)=0, "",VLOOKUP(A493,'Aux - pivots1'!$A:$E,5,0))</f>
        <v>45611</v>
      </c>
      <c r="M493" s="208"/>
      <c r="N493" s="208"/>
      <c r="O493" s="342" t="s">
        <v>26</v>
      </c>
    </row>
    <row r="494" spans="1:15" ht="16.2" hidden="1">
      <c r="A494" s="30" t="str">
        <f t="shared" si="8"/>
        <v>lt827_mthd_usd_instrmntflg_fin</v>
      </c>
      <c r="B494" s="142" t="s">
        <v>26</v>
      </c>
      <c r="C494" s="138" t="s">
        <v>26</v>
      </c>
      <c r="D494" s="134" t="s">
        <v>40</v>
      </c>
      <c r="E494" s="137" t="s">
        <v>1949</v>
      </c>
      <c r="F494" s="137" t="s">
        <v>481</v>
      </c>
      <c r="G494" s="136" t="str">
        <f>VLOOKUP(A494,Plano_V3!$A$26:$G$592,7,0)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2" t="s">
        <v>26</v>
      </c>
    </row>
    <row r="495" spans="1:15" ht="16.2" hidden="1">
      <c r="A495" s="30" t="str">
        <f t="shared" si="8"/>
        <v>lt827_mthd_usd_instrmntflg_exec</v>
      </c>
      <c r="B495" s="142" t="s">
        <v>26</v>
      </c>
      <c r="C495" s="138" t="s">
        <v>26</v>
      </c>
      <c r="D495" s="134" t="s">
        <v>40</v>
      </c>
      <c r="E495" s="137" t="s">
        <v>1949</v>
      </c>
      <c r="F495" s="137" t="s">
        <v>1355</v>
      </c>
      <c r="G495" s="136" t="str">
        <f>VLOOKUP(A495,Plano_V3!$A$26:$G$592,7,0)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2" t="s">
        <v>26</v>
      </c>
    </row>
    <row r="496" spans="1:15" ht="16.2" hidden="1">
      <c r="A496" s="30" t="str">
        <f t="shared" si="8"/>
        <v>lt827_mthd_usd_instrmntflg_col</v>
      </c>
      <c r="B496" s="142" t="s">
        <v>26</v>
      </c>
      <c r="C496" s="138" t="s">
        <v>26</v>
      </c>
      <c r="D496" s="134" t="s">
        <v>40</v>
      </c>
      <c r="E496" s="137" t="s">
        <v>1949</v>
      </c>
      <c r="F496" s="137" t="s">
        <v>480</v>
      </c>
      <c r="G496" s="136" t="str">
        <f>VLOOKUP(A496,Plano_V3!$A$26:$G$592,7,0)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2" t="s">
        <v>26</v>
      </c>
    </row>
    <row r="497" spans="1:15" ht="16.2" hidden="1">
      <c r="A497" s="30" t="str">
        <f t="shared" si="8"/>
        <v>lt827_mthd_usd_instrmntflg_pro</v>
      </c>
      <c r="B497" s="142" t="s">
        <v>26</v>
      </c>
      <c r="C497" s="138" t="s">
        <v>26</v>
      </c>
      <c r="D497" s="134" t="s">
        <v>40</v>
      </c>
      <c r="E497" s="137" t="s">
        <v>1949</v>
      </c>
      <c r="F497" s="137" t="s">
        <v>482</v>
      </c>
      <c r="G497" s="136" t="str">
        <f>VLOOKUP(A497,Plano_V3!$A$26:$G$592,7,0)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2" t="s">
        <v>26</v>
      </c>
    </row>
    <row r="498" spans="1:15" ht="16.2" hidden="1" customHeight="1">
      <c r="A498" s="30" t="str">
        <f t="shared" si="8"/>
        <v>lt826_esg_sbsctrambito</v>
      </c>
      <c r="B498" s="142" t="s">
        <v>26</v>
      </c>
      <c r="C498" s="138" t="s">
        <v>26</v>
      </c>
      <c r="D498" s="134" t="s">
        <v>40</v>
      </c>
      <c r="E498" s="137" t="s">
        <v>393</v>
      </c>
      <c r="F498" s="137" t="s">
        <v>391</v>
      </c>
      <c r="G498" s="136" t="str">
        <f>VLOOKUP(A498,Plano_V3!$A$26:$G$592,7,0)</f>
        <v>1. Concluído</v>
      </c>
      <c r="H498" s="136" t="s">
        <v>613</v>
      </c>
      <c r="I498" s="143"/>
      <c r="J498" s="153" t="str">
        <f>IF(VLOOKUP(A498,'Aux - pivots1'!$A:$E,3,0)=0, "",VLOOKUP(A498,'Aux - pivots1'!$A:$E,3,0))</f>
        <v/>
      </c>
      <c r="K498" s="153" t="str">
        <f>IF(VLOOKUP(A498,'Aux - pivots1'!$A:$E,4,0)=0, "",VLOOKUP(A498,'Aux - pivots1'!$A:$E,4,0))</f>
        <v/>
      </c>
      <c r="L498" s="153" t="str">
        <f>IF(VLOOKUP(A498,'Aux - pivots1'!$A:$E,5,0)=0, "",VLOOKUP(A498,'Aux - pivots1'!$A:$E,5,0))</f>
        <v/>
      </c>
      <c r="M498" s="208"/>
      <c r="N498" s="208"/>
      <c r="O498" s="342" t="s">
        <v>26</v>
      </c>
    </row>
    <row r="499" spans="1:15" ht="16.2" hidden="1" customHeight="1">
      <c r="A499" s="30" t="str">
        <f t="shared" si="8"/>
        <v>lt826_esg_sbsctrref_date</v>
      </c>
      <c r="B499" s="142" t="s">
        <v>26</v>
      </c>
      <c r="C499" s="138" t="s">
        <v>26</v>
      </c>
      <c r="D499" s="134" t="s">
        <v>40</v>
      </c>
      <c r="E499" s="137" t="s">
        <v>393</v>
      </c>
      <c r="F499" s="137" t="s">
        <v>208</v>
      </c>
      <c r="G499" s="136" t="str">
        <f>VLOOKUP(A499,Plano_V3!$A$26:$G$592,7,0)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2" t="s">
        <v>26</v>
      </c>
    </row>
    <row r="500" spans="1:15" ht="16.2" hidden="1" customHeight="1">
      <c r="A500" s="30" t="str">
        <f t="shared" si="8"/>
        <v>lt826_esg_sbsctrordem</v>
      </c>
      <c r="B500" s="142" t="s">
        <v>26</v>
      </c>
      <c r="C500" s="138" t="s">
        <v>26</v>
      </c>
      <c r="D500" s="134" t="s">
        <v>40</v>
      </c>
      <c r="E500" s="137" t="s">
        <v>393</v>
      </c>
      <c r="F500" s="137" t="s">
        <v>211</v>
      </c>
      <c r="G500" s="136" t="str">
        <f>VLOOKUP(A500,Plano_V3!$A$26:$G$592,7,0)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2" t="s">
        <v>26</v>
      </c>
    </row>
    <row r="501" spans="1:15" ht="16.2" hidden="1" customHeight="1">
      <c r="A501" s="30" t="str">
        <f t="shared" si="8"/>
        <v>lt826_esg_sbsctrnace_code</v>
      </c>
      <c r="B501" s="142" t="s">
        <v>26</v>
      </c>
      <c r="C501" s="138" t="s">
        <v>26</v>
      </c>
      <c r="D501" s="134" t="s">
        <v>40</v>
      </c>
      <c r="E501" s="137" t="s">
        <v>393</v>
      </c>
      <c r="F501" s="137" t="s">
        <v>394</v>
      </c>
      <c r="G501" s="136" t="str">
        <f>VLOOKUP(A501,Plano_V3!$A$26:$G$592,7,0)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2" t="s">
        <v>26</v>
      </c>
    </row>
    <row r="502" spans="1:15" ht="16.2" hidden="1" customHeight="1">
      <c r="A502" s="30" t="str">
        <f t="shared" si="8"/>
        <v>lt826_esg_sbsctrcontraparte</v>
      </c>
      <c r="B502" s="142" t="s">
        <v>26</v>
      </c>
      <c r="C502" s="138" t="s">
        <v>26</v>
      </c>
      <c r="D502" s="134" t="s">
        <v>40</v>
      </c>
      <c r="E502" s="137" t="s">
        <v>393</v>
      </c>
      <c r="F502" s="137" t="s">
        <v>395</v>
      </c>
      <c r="G502" s="136" t="str">
        <f>VLOOKUP(A502,Plano_V3!$A$26:$G$592,7,0)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2" t="s">
        <v>26</v>
      </c>
    </row>
    <row r="503" spans="1:15" ht="16.2" hidden="1" customHeight="1">
      <c r="A503" s="30" t="str">
        <f t="shared" si="8"/>
        <v>lt826_esg_sbsctrcnatureza_juri</v>
      </c>
      <c r="B503" s="142" t="s">
        <v>26</v>
      </c>
      <c r="C503" s="138" t="s">
        <v>26</v>
      </c>
      <c r="D503" s="134" t="s">
        <v>40</v>
      </c>
      <c r="E503" s="137" t="s">
        <v>393</v>
      </c>
      <c r="F503" s="137" t="s">
        <v>396</v>
      </c>
      <c r="G503" s="136" t="str">
        <f>VLOOKUP(A503,Plano_V3!$A$26:$G$592,7,0)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2" t="s">
        <v>26</v>
      </c>
    </row>
    <row r="504" spans="1:15" ht="16.2" hidden="1" customHeight="1">
      <c r="A504" s="30" t="str">
        <f t="shared" si="8"/>
        <v>lt826_esg_sbsctridcomb</v>
      </c>
      <c r="B504" s="142" t="s">
        <v>26</v>
      </c>
      <c r="C504" s="138" t="s">
        <v>26</v>
      </c>
      <c r="D504" s="134" t="s">
        <v>40</v>
      </c>
      <c r="E504" s="137" t="s">
        <v>393</v>
      </c>
      <c r="F504" s="137" t="s">
        <v>397</v>
      </c>
      <c r="G504" s="136" t="str">
        <f>VLOOKUP(A504,Plano_V3!$A$26:$G$592,7,0)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2" t="s">
        <v>26</v>
      </c>
    </row>
    <row r="505" spans="1:15" ht="16.2" hidden="1" customHeight="1">
      <c r="A505" s="30" t="str">
        <f t="shared" si="8"/>
        <v>lt826_esg_sbsctresg_sbsctr</v>
      </c>
      <c r="B505" s="142" t="s">
        <v>26</v>
      </c>
      <c r="C505" s="138" t="s">
        <v>26</v>
      </c>
      <c r="D505" s="134" t="s">
        <v>40</v>
      </c>
      <c r="E505" s="137" t="s">
        <v>393</v>
      </c>
      <c r="F505" s="137" t="s">
        <v>361</v>
      </c>
      <c r="G505" s="136" t="str">
        <f>VLOOKUP(A505,Plano_V3!$A$26:$G$592,7,0)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2" t="s">
        <v>26</v>
      </c>
    </row>
    <row r="506" spans="1:15" ht="16.2" hidden="1" customHeight="1">
      <c r="A506" s="30" t="str">
        <f t="shared" si="8"/>
        <v>lt826_esg_sbsctrdescrição</v>
      </c>
      <c r="B506" s="142" t="s">
        <v>26</v>
      </c>
      <c r="C506" s="138" t="s">
        <v>26</v>
      </c>
      <c r="D506" s="134" t="s">
        <v>40</v>
      </c>
      <c r="E506" s="137" t="s">
        <v>393</v>
      </c>
      <c r="F506" s="137" t="s">
        <v>398</v>
      </c>
      <c r="G506" s="136" t="str">
        <f>VLOOKUP(A506,Plano_V3!$A$26:$G$592,7,0)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2" t="s">
        <v>26</v>
      </c>
    </row>
    <row r="507" spans="1:15" ht="16.2" hidden="1" customHeight="1">
      <c r="A507" s="30" t="str">
        <f t="shared" si="8"/>
        <v>lt002_instrumentdt_rfrnc</v>
      </c>
      <c r="B507" s="142" t="s">
        <v>26</v>
      </c>
      <c r="C507" s="138" t="s">
        <v>26</v>
      </c>
      <c r="D507" s="134" t="s">
        <v>40</v>
      </c>
      <c r="E507" s="137" t="s">
        <v>380</v>
      </c>
      <c r="F507" s="137" t="s">
        <v>399</v>
      </c>
      <c r="G507" s="136" t="str">
        <f>VLOOKUP(A507,Plano_V3!$A$26:$G$592,7,0)</f>
        <v>1. Concluído</v>
      </c>
      <c r="H507" s="136" t="s">
        <v>613</v>
      </c>
      <c r="I507" s="143" t="s">
        <v>659</v>
      </c>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2" t="s">
        <v>26</v>
      </c>
    </row>
    <row r="508" spans="1:15" ht="16.2" hidden="1" customHeight="1">
      <c r="A508" s="30" t="str">
        <f t="shared" si="8"/>
        <v>lt002_instrumentinstrmnt_id</v>
      </c>
      <c r="B508" s="142" t="s">
        <v>26</v>
      </c>
      <c r="C508" s="138" t="s">
        <v>26</v>
      </c>
      <c r="D508" s="134" t="s">
        <v>40</v>
      </c>
      <c r="E508" s="137" t="s">
        <v>380</v>
      </c>
      <c r="F508" s="137" t="s">
        <v>401</v>
      </c>
      <c r="G508" s="136" t="str">
        <f>VLOOKUP(A508,Plano_V3!$A$26:$G$592,7,0)</f>
        <v>1. Concluído</v>
      </c>
      <c r="H508" s="136" t="s">
        <v>613</v>
      </c>
      <c r="I508" s="143" t="s">
        <v>659</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2" t="s">
        <v>26</v>
      </c>
    </row>
    <row r="509" spans="1:15" ht="16.2" hidden="1" customHeight="1">
      <c r="A509" s="30" t="str">
        <f t="shared" si="8"/>
        <v>lt002_instrumentdt_incptn</v>
      </c>
      <c r="B509" s="142" t="s">
        <v>26</v>
      </c>
      <c r="C509" s="138" t="s">
        <v>26</v>
      </c>
      <c r="D509" s="134" t="s">
        <v>40</v>
      </c>
      <c r="E509" s="137" t="s">
        <v>380</v>
      </c>
      <c r="F509" s="137" t="s">
        <v>402</v>
      </c>
      <c r="G509" s="136" t="str">
        <f>VLOOKUP(A509,Plano_V3!$A$26:$G$592,7,0)</f>
        <v>1. Concluído</v>
      </c>
      <c r="H509" s="136" t="s">
        <v>613</v>
      </c>
      <c r="I509" s="143" t="s">
        <v>659</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2" t="s">
        <v>26</v>
      </c>
    </row>
    <row r="510" spans="1:15" ht="16.2" hidden="1" customHeight="1">
      <c r="A510" s="30" t="str">
        <f t="shared" si="8"/>
        <v>lt002_instrumentdflt_stts_instrmnt</v>
      </c>
      <c r="B510" s="142" t="s">
        <v>26</v>
      </c>
      <c r="C510" s="138" t="s">
        <v>26</v>
      </c>
      <c r="D510" s="134" t="s">
        <v>40</v>
      </c>
      <c r="E510" s="137" t="s">
        <v>380</v>
      </c>
      <c r="F510" s="137" t="s">
        <v>403</v>
      </c>
      <c r="G510" s="136" t="str">
        <f>VLOOKUP(A510,Plano_V3!$A$26:$G$592,7,0)</f>
        <v>1. Concluído</v>
      </c>
      <c r="H510" s="136" t="s">
        <v>613</v>
      </c>
      <c r="I510" s="143" t="s">
        <v>659</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2" t="s">
        <v>26</v>
      </c>
    </row>
    <row r="511" spans="1:15" ht="16.2" hidden="1" customHeight="1">
      <c r="A511" s="30" t="str">
        <f t="shared" si="8"/>
        <v>lt002_instrumentimprmnt_stts</v>
      </c>
      <c r="B511" s="142" t="s">
        <v>26</v>
      </c>
      <c r="C511" s="138" t="s">
        <v>26</v>
      </c>
      <c r="D511" s="134" t="s">
        <v>40</v>
      </c>
      <c r="E511" s="137" t="s">
        <v>380</v>
      </c>
      <c r="F511" s="137" t="s">
        <v>404</v>
      </c>
      <c r="G511" s="136" t="str">
        <f>VLOOKUP(A511,Plano_V3!$A$26:$G$592,7,0)</f>
        <v>1. Concluído</v>
      </c>
      <c r="H511" s="136" t="s">
        <v>613</v>
      </c>
      <c r="I511" s="143" t="s">
        <v>659</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2" t="s">
        <v>26</v>
      </c>
    </row>
    <row r="512" spans="1:15" ht="16.2" hidden="1" customHeight="1">
      <c r="A512" s="30" t="str">
        <f t="shared" si="8"/>
        <v>lt002_instrumentprfrmng_stts</v>
      </c>
      <c r="B512" s="142" t="s">
        <v>26</v>
      </c>
      <c r="C512" s="138" t="s">
        <v>26</v>
      </c>
      <c r="D512" s="134" t="s">
        <v>40</v>
      </c>
      <c r="E512" s="137" t="s">
        <v>380</v>
      </c>
      <c r="F512" s="137" t="s">
        <v>405</v>
      </c>
      <c r="G512" s="136" t="str">
        <f>VLOOKUP(A512,Plano_V3!$A$26:$G$592,7,0)</f>
        <v>1. Concluído</v>
      </c>
      <c r="H512" s="136" t="s">
        <v>613</v>
      </c>
      <c r="I512" s="143" t="s">
        <v>659</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2" t="s">
        <v>26</v>
      </c>
    </row>
    <row r="513" spans="1:15" ht="16.2" hidden="1" customHeight="1">
      <c r="A513" s="30" t="str">
        <f t="shared" si="8"/>
        <v>lt002_instrumentprjct_fnnc_ln</v>
      </c>
      <c r="B513" s="142" t="s">
        <v>26</v>
      </c>
      <c r="C513" s="138" t="s">
        <v>26</v>
      </c>
      <c r="D513" s="134" t="s">
        <v>40</v>
      </c>
      <c r="E513" s="137" t="s">
        <v>380</v>
      </c>
      <c r="F513" s="137" t="s">
        <v>406</v>
      </c>
      <c r="G513" s="136" t="str">
        <f>VLOOKUP(A513,Plano_V3!$A$26:$G$592,7,0)</f>
        <v>1. Concluído</v>
      </c>
      <c r="H513" s="136" t="s">
        <v>613</v>
      </c>
      <c r="I513" s="143" t="s">
        <v>659</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2" t="s">
        <v>26</v>
      </c>
    </row>
    <row r="514" spans="1:15" ht="16.2" hidden="1" customHeight="1">
      <c r="A514" s="30" t="str">
        <f t="shared" si="8"/>
        <v>lt002_instrumenttyp_instrmnt</v>
      </c>
      <c r="B514" s="142" t="s">
        <v>26</v>
      </c>
      <c r="C514" s="138" t="s">
        <v>26</v>
      </c>
      <c r="D514" s="134" t="s">
        <v>40</v>
      </c>
      <c r="E514" s="137" t="s">
        <v>380</v>
      </c>
      <c r="F514" s="137" t="s">
        <v>407</v>
      </c>
      <c r="G514" s="136" t="str">
        <f>VLOOKUP(A514,Plano_V3!$A$26:$G$592,7,0)</f>
        <v>1. Concluído</v>
      </c>
      <c r="H514" s="136" t="s">
        <v>613</v>
      </c>
      <c r="I514" s="143" t="s">
        <v>659</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2" t="s">
        <v>26</v>
      </c>
    </row>
    <row r="515" spans="1:15" ht="16.2" hidden="1" customHeight="1">
      <c r="A515" s="30" t="str">
        <f t="shared" si="8"/>
        <v>lt002_instrumentgrss_crryng_amnt_instrmnt</v>
      </c>
      <c r="B515" s="142" t="s">
        <v>26</v>
      </c>
      <c r="C515" s="138" t="s">
        <v>26</v>
      </c>
      <c r="D515" s="134" t="s">
        <v>40</v>
      </c>
      <c r="E515" s="137" t="s">
        <v>380</v>
      </c>
      <c r="F515" s="137" t="s">
        <v>408</v>
      </c>
      <c r="G515" s="136" t="str">
        <f>VLOOKUP(A515,Plano_V3!$A$26:$G$592,7,0)</f>
        <v>1. Concluído</v>
      </c>
      <c r="H515" s="136" t="s">
        <v>613</v>
      </c>
      <c r="I515" s="143" t="s">
        <v>659</v>
      </c>
      <c r="J515" s="153" t="str">
        <f>IF(VLOOKUP(A515,'Aux - pivots1'!$A:$E,3,0)=0, "",VLOOKUP(A515,'Aux - pivots1'!$A:$E,3,0))</f>
        <v/>
      </c>
      <c r="K515" s="153">
        <f>IF(VLOOKUP(A515,'Aux - pivots1'!$A:$E,4,0)=0, "",VLOOKUP(A515,'Aux - pivots1'!$A:$E,4,0))</f>
        <v>45631</v>
      </c>
      <c r="L515" s="153">
        <f>IF(VLOOKUP(A515,'Aux - pivots1'!$A:$E,5,0)=0, "",VLOOKUP(A515,'Aux - pivots1'!$A:$E,5,0))</f>
        <v>45631</v>
      </c>
      <c r="M515" s="208"/>
      <c r="N515" s="208"/>
      <c r="O515" s="342" t="s">
        <v>26</v>
      </c>
    </row>
    <row r="516" spans="1:15" ht="16.2" hidden="1" customHeight="1">
      <c r="A516" s="30" t="str">
        <f t="shared" si="8"/>
        <v>lt002_instrumentaccmltd_chngs_fv_cr_instrmnt</v>
      </c>
      <c r="B516" s="142" t="s">
        <v>26</v>
      </c>
      <c r="C516" s="138" t="s">
        <v>26</v>
      </c>
      <c r="D516" s="134" t="s">
        <v>40</v>
      </c>
      <c r="E516" s="137" t="s">
        <v>380</v>
      </c>
      <c r="F516" s="137" t="s">
        <v>409</v>
      </c>
      <c r="G516" s="136" t="str">
        <f>VLOOKUP(A516,Plano_V3!$A$26:$G$592,7,0)</f>
        <v>1. Concluído</v>
      </c>
      <c r="H516" s="136" t="s">
        <v>613</v>
      </c>
      <c r="I516" s="143" t="s">
        <v>659</v>
      </c>
      <c r="J516" s="153" t="str">
        <f>IF(VLOOKUP(A516,'Aux - pivots1'!$A:$E,3,0)=0, "",VLOOKUP(A516,'Aux - pivots1'!$A:$E,3,0))</f>
        <v/>
      </c>
      <c r="K516" s="153" t="str">
        <f>IF(VLOOKUP(A516,'Aux - pivots1'!$A:$E,4,0)=0, "",VLOOKUP(A516,'Aux - pivots1'!$A:$E,4,0))</f>
        <v/>
      </c>
      <c r="L516" s="153" t="str">
        <f>IF(VLOOKUP(A516,'Aux - pivots1'!$A:$E,5,0)=0, "",VLOOKUP(A516,'Aux - pivots1'!$A:$E,5,0))</f>
        <v/>
      </c>
      <c r="M516" s="208"/>
      <c r="N516" s="208"/>
      <c r="O516" s="342" t="s">
        <v>26</v>
      </c>
    </row>
    <row r="517" spans="1:15" ht="16.2" hidden="1" customHeight="1">
      <c r="A517" s="30" t="str">
        <f t="shared" si="8"/>
        <v>lt002_instrumentaccntng_clssfctn</v>
      </c>
      <c r="B517" s="142" t="s">
        <v>26</v>
      </c>
      <c r="C517" s="138" t="s">
        <v>26</v>
      </c>
      <c r="D517" s="134" t="s">
        <v>40</v>
      </c>
      <c r="E517" s="137" t="s">
        <v>380</v>
      </c>
      <c r="F517" s="137" t="s">
        <v>410</v>
      </c>
      <c r="G517" s="136" t="str">
        <f>VLOOKUP(A517,Plano_V3!$A$26:$G$592,7,0)</f>
        <v>1. Concluído</v>
      </c>
      <c r="H517" s="136" t="s">
        <v>613</v>
      </c>
      <c r="I517" s="143" t="s">
        <v>659</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2" t="s">
        <v>26</v>
      </c>
    </row>
    <row r="518" spans="1:15" ht="16.2" hidden="1" customHeight="1">
      <c r="A518" s="30" t="str">
        <f t="shared" si="8"/>
        <v>lt002_instrumentdt_lgl_fnl_mtrty</v>
      </c>
      <c r="B518" s="142" t="s">
        <v>26</v>
      </c>
      <c r="C518" s="138" t="s">
        <v>26</v>
      </c>
      <c r="D518" s="134" t="s">
        <v>40</v>
      </c>
      <c r="E518" s="137" t="s">
        <v>380</v>
      </c>
      <c r="F518" s="137" t="s">
        <v>411</v>
      </c>
      <c r="G518" s="136" t="str">
        <f>VLOOKUP(A518,Plano_V3!$A$26:$G$592,7,0)</f>
        <v>1. Concluído</v>
      </c>
      <c r="H518" s="136" t="s">
        <v>613</v>
      </c>
      <c r="I518" s="143" t="s">
        <v>659</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2" t="s">
        <v>26</v>
      </c>
    </row>
    <row r="519" spans="1:15" ht="16.2" hidden="1" customHeight="1">
      <c r="A519" s="30" t="str">
        <f t="shared" si="8"/>
        <v>lt002_instrumentaccmltd_imprmnt_instrmnt</v>
      </c>
      <c r="B519" s="142" t="s">
        <v>26</v>
      </c>
      <c r="C519" s="138" t="s">
        <v>26</v>
      </c>
      <c r="D519" s="134" t="s">
        <v>40</v>
      </c>
      <c r="E519" s="137" t="s">
        <v>380</v>
      </c>
      <c r="F519" s="137" t="s">
        <v>412</v>
      </c>
      <c r="G519" s="136" t="str">
        <f>VLOOKUP(A519,Plano_V3!$A$26:$G$592,7,0)</f>
        <v>1. Concluído</v>
      </c>
      <c r="H519" s="136" t="s">
        <v>613</v>
      </c>
      <c r="I519" s="143" t="s">
        <v>659</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2" t="s">
        <v>26</v>
      </c>
    </row>
    <row r="520" spans="1:15" ht="16.2" hidden="1" customHeight="1">
      <c r="A520" s="30" t="str">
        <f t="shared" si="8"/>
        <v>lt002_instrumentissr_cntry</v>
      </c>
      <c r="B520" s="142" t="s">
        <v>26</v>
      </c>
      <c r="C520" s="138" t="s">
        <v>26</v>
      </c>
      <c r="D520" s="134" t="s">
        <v>40</v>
      </c>
      <c r="E520" s="137" t="s">
        <v>380</v>
      </c>
      <c r="F520" s="137" t="s">
        <v>413</v>
      </c>
      <c r="G520" s="136" t="str">
        <f>VLOOKUP(A520,Plano_V3!$A$26:$G$592,7,0)</f>
        <v>1. Concluído</v>
      </c>
      <c r="H520" s="136" t="s">
        <v>613</v>
      </c>
      <c r="I520" s="143" t="s">
        <v>659</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2" t="s">
        <v>26</v>
      </c>
    </row>
    <row r="521" spans="1:15" ht="16.2" hidden="1" customHeight="1">
      <c r="A521" s="30" t="str">
        <f t="shared" si="8"/>
        <v>lt002_instrumentissr_nace_sctr</v>
      </c>
      <c r="B521" s="142" t="s">
        <v>26</v>
      </c>
      <c r="C521" s="138" t="s">
        <v>26</v>
      </c>
      <c r="D521" s="134" t="s">
        <v>40</v>
      </c>
      <c r="E521" s="137" t="s">
        <v>380</v>
      </c>
      <c r="F521" s="137" t="s">
        <v>414</v>
      </c>
      <c r="G521" s="136" t="str">
        <f>VLOOKUP(A521,Plano_V3!$A$26:$G$592,7,0)</f>
        <v>1. Concluído</v>
      </c>
      <c r="H521" s="136" t="s">
        <v>613</v>
      </c>
      <c r="I521" s="143" t="s">
        <v>659</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2" t="s">
        <v>26</v>
      </c>
    </row>
    <row r="522" spans="1:15" ht="16.2" hidden="1" customHeight="1">
      <c r="A522" s="30" t="str">
        <f t="shared" si="8"/>
        <v>lt002_instrumentprmry_asst_clssf</v>
      </c>
      <c r="B522" s="142" t="s">
        <v>26</v>
      </c>
      <c r="C522" s="138" t="s">
        <v>26</v>
      </c>
      <c r="D522" s="134" t="s">
        <v>40</v>
      </c>
      <c r="E522" s="137" t="s">
        <v>380</v>
      </c>
      <c r="F522" s="137" t="s">
        <v>415</v>
      </c>
      <c r="G522" s="136" t="str">
        <f>VLOOKUP(A522,Plano_V3!$A$26:$G$592,7,0)</f>
        <v>1. Concluído</v>
      </c>
      <c r="H522" s="136" t="s">
        <v>613</v>
      </c>
      <c r="I522" s="143" t="s">
        <v>659</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2" t="s">
        <v>26</v>
      </c>
    </row>
    <row r="523" spans="1:15" ht="16.2" hidden="1" customHeight="1">
      <c r="A523" s="30" t="str">
        <f t="shared" si="8"/>
        <v>lt002_instrumentsubportfolio_id</v>
      </c>
      <c r="B523" s="142" t="s">
        <v>26</v>
      </c>
      <c r="C523" s="138" t="s">
        <v>26</v>
      </c>
      <c r="D523" s="134" t="s">
        <v>40</v>
      </c>
      <c r="E523" s="137" t="s">
        <v>380</v>
      </c>
      <c r="F523" s="137" t="s">
        <v>416</v>
      </c>
      <c r="G523" s="136" t="str">
        <f>VLOOKUP(A523,Plano_V3!$A$26:$G$592,7,0)</f>
        <v>1. Concluído</v>
      </c>
      <c r="H523" s="136" t="s">
        <v>613</v>
      </c>
      <c r="I523" s="143" t="s">
        <v>659</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2" t="s">
        <v>26</v>
      </c>
    </row>
    <row r="524" spans="1:15" ht="16.2" hidden="1" customHeight="1">
      <c r="A524" s="30" t="str">
        <f t="shared" si="8"/>
        <v>lt002_instrumentcod_soc</v>
      </c>
      <c r="B524" s="142" t="s">
        <v>26</v>
      </c>
      <c r="C524" s="138" t="s">
        <v>26</v>
      </c>
      <c r="D524" s="134" t="s">
        <v>40</v>
      </c>
      <c r="E524" s="137" t="s">
        <v>380</v>
      </c>
      <c r="F524" s="137" t="s">
        <v>417</v>
      </c>
      <c r="G524" s="136" t="str">
        <f>VLOOKUP(A524,Plano_V3!$A$26:$G$592,7,0)</f>
        <v>1. Concluído</v>
      </c>
      <c r="H524" s="136" t="s">
        <v>613</v>
      </c>
      <c r="I524" s="143" t="s">
        <v>659</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2" t="s">
        <v>26</v>
      </c>
    </row>
    <row r="525" spans="1:15" ht="16.2" hidden="1" customHeight="1">
      <c r="A525" s="30" t="str">
        <f t="shared" si="8"/>
        <v>lt002_instrumentlcl_instmrnt_id</v>
      </c>
      <c r="B525" s="142" t="s">
        <v>26</v>
      </c>
      <c r="C525" s="138" t="s">
        <v>26</v>
      </c>
      <c r="D525" s="134" t="s">
        <v>40</v>
      </c>
      <c r="E525" s="137" t="s">
        <v>380</v>
      </c>
      <c r="F525" s="137" t="s">
        <v>418</v>
      </c>
      <c r="G525" s="136" t="str">
        <f>VLOOKUP(A525,Plano_V3!$A$26:$G$592,7,0)</f>
        <v>1. Concluído</v>
      </c>
      <c r="H525" s="136" t="s">
        <v>613</v>
      </c>
      <c r="I525" s="143" t="s">
        <v>659</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2" t="s">
        <v>26</v>
      </c>
    </row>
    <row r="526" spans="1:15" ht="16.2" hidden="1" customHeight="1">
      <c r="A526" s="30" t="str">
        <f t="shared" si="8"/>
        <v>lt007_instr_activitysstnbl_indctr</v>
      </c>
      <c r="B526" s="142" t="s">
        <v>26</v>
      </c>
      <c r="C526" s="138" t="s">
        <v>26</v>
      </c>
      <c r="D526" s="134" t="s">
        <v>40</v>
      </c>
      <c r="E526" s="137" t="s">
        <v>1948</v>
      </c>
      <c r="F526" s="137" t="s">
        <v>419</v>
      </c>
      <c r="G526" s="136" t="str">
        <f>VLOOKUP(A526,Plano_V3!$A$26:$G$592,7,0)</f>
        <v>1. Concluído</v>
      </c>
      <c r="H526" s="136" t="s">
        <v>613</v>
      </c>
      <c r="I526" s="143" t="s">
        <v>1928</v>
      </c>
      <c r="J526" s="153" t="str">
        <f>IF(VLOOKUP(A526,'Aux - pivots1'!$A:$E,3,0)=0, "",VLOOKUP(A526,'Aux - pivots1'!$A:$E,3,0))</f>
        <v/>
      </c>
      <c r="K526" s="153">
        <f>IF(VLOOKUP(A526,'Aux - pivots1'!$A:$E,4,0)=0, "",VLOOKUP(A526,'Aux - pivots1'!$A:$E,4,0))</f>
        <v>45624</v>
      </c>
      <c r="L526" s="153">
        <f>IF(VLOOKUP(A526,'Aux - pivots1'!$A:$E,5,0)=0, "",VLOOKUP(A526,'Aux - pivots1'!$A:$E,5,0))</f>
        <v>45624</v>
      </c>
      <c r="M526" s="208">
        <v>45593</v>
      </c>
      <c r="N526" s="208"/>
      <c r="O526" s="342" t="s">
        <v>26</v>
      </c>
    </row>
    <row r="527" spans="1:15" ht="16.2" hidden="1" customHeight="1">
      <c r="A527" s="30" t="str">
        <f t="shared" si="8"/>
        <v>lt007_instr_activitysstnbl_ctgry</v>
      </c>
      <c r="B527" s="142" t="s">
        <v>26</v>
      </c>
      <c r="C527" s="138" t="s">
        <v>26</v>
      </c>
      <c r="D527" s="134" t="s">
        <v>40</v>
      </c>
      <c r="E527" s="137" t="s">
        <v>1948</v>
      </c>
      <c r="F527" s="137" t="s">
        <v>420</v>
      </c>
      <c r="G527" s="136" t="str">
        <f>VLOOKUP(A527,Plano_V3!$A$26:$G$592,7,0)</f>
        <v>4. Validação EF</v>
      </c>
      <c r="H527" s="136" t="s">
        <v>615</v>
      </c>
      <c r="I527" s="143" t="s">
        <v>1928</v>
      </c>
      <c r="J527" s="153">
        <f>IF(VLOOKUP(A527,'Aux - pivots1'!$A:$E,3,0)=0, "",VLOOKUP(A527,'Aux - pivots1'!$A:$E,3,0))</f>
        <v>45593</v>
      </c>
      <c r="K527" s="153">
        <f>IF(VLOOKUP(A527,'Aux - pivots1'!$A:$E,4,0)=0, "",VLOOKUP(A527,'Aux - pivots1'!$A:$E,4,0))</f>
        <v>45624</v>
      </c>
      <c r="L527" s="153">
        <f>IF(VLOOKUP(A527,'Aux - pivots1'!$A:$E,5,0)=0, "",VLOOKUP(A527,'Aux - pivots1'!$A:$E,5,0))</f>
        <v>45624</v>
      </c>
      <c r="M527" s="208">
        <v>45593</v>
      </c>
      <c r="N527" s="208"/>
      <c r="O527" s="342" t="s">
        <v>26</v>
      </c>
    </row>
    <row r="528" spans="1:15" ht="16.2" hidden="1" customHeight="1">
      <c r="A528" s="30" t="str">
        <f t="shared" si="8"/>
        <v>lt002_instrumentgrss_intrst_incm</v>
      </c>
      <c r="B528" s="142" t="s">
        <v>26</v>
      </c>
      <c r="C528" s="138" t="s">
        <v>26</v>
      </c>
      <c r="D528" s="134" t="s">
        <v>40</v>
      </c>
      <c r="E528" s="137" t="s">
        <v>380</v>
      </c>
      <c r="F528" s="137" t="s">
        <v>421</v>
      </c>
      <c r="G528" s="136" t="str">
        <f>VLOOKUP(A528,Plano_V3!$A$26:$G$592,7,0)</f>
        <v>2.1 Em Teste</v>
      </c>
      <c r="H528" s="136" t="s">
        <v>1921</v>
      </c>
      <c r="I528" s="143" t="s">
        <v>659</v>
      </c>
      <c r="J528" s="153">
        <f>IF(VLOOKUP(A528,'Aux - pivots1'!$A:$E,3,0)=0, "",VLOOKUP(A528,'Aux - pivots1'!$A:$E,3,0))</f>
        <v>45618</v>
      </c>
      <c r="K528" s="153">
        <f>IF(VLOOKUP(A528,'Aux - pivots1'!$A:$E,4,0)=0, "",VLOOKUP(A528,'Aux - pivots1'!$A:$E,4,0))</f>
        <v>45631</v>
      </c>
      <c r="L528" s="153">
        <f>IF(VLOOKUP(A528,'Aux - pivots1'!$A:$E,5,0)=0, "",VLOOKUP(A528,'Aux - pivots1'!$A:$E,5,0))</f>
        <v>45631</v>
      </c>
      <c r="M528" s="208">
        <v>45595</v>
      </c>
      <c r="N528" s="208"/>
      <c r="O528" s="342" t="s">
        <v>26</v>
      </c>
    </row>
    <row r="529" spans="1:15" ht="16.2" hidden="1" customHeight="1">
      <c r="A529" s="30" t="str">
        <f t="shared" si="8"/>
        <v>lt002_instrumentgrss_cmmssn_incm</v>
      </c>
      <c r="B529" s="142" t="s">
        <v>26</v>
      </c>
      <c r="C529" s="138" t="s">
        <v>26</v>
      </c>
      <c r="D529" s="134" t="s">
        <v>40</v>
      </c>
      <c r="E529" s="137" t="s">
        <v>380</v>
      </c>
      <c r="F529" s="137" t="s">
        <v>422</v>
      </c>
      <c r="G529" s="136" t="str">
        <f>VLOOKUP(A529,Plano_V3!$A$26:$G$592,7,0)</f>
        <v>2.1 Em Teste</v>
      </c>
      <c r="H529" s="136" t="s">
        <v>1921</v>
      </c>
      <c r="I529" s="143" t="s">
        <v>659</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2" t="s">
        <v>26</v>
      </c>
    </row>
    <row r="530" spans="1:15" ht="16.2" hidden="1" customHeight="1">
      <c r="A530" s="30" t="str">
        <f t="shared" si="8"/>
        <v>lt002_instrumentgrss_cmmssn_incm_off_blnc</v>
      </c>
      <c r="B530" s="142" t="s">
        <v>26</v>
      </c>
      <c r="C530" s="138" t="s">
        <v>26</v>
      </c>
      <c r="D530" s="134" t="s">
        <v>40</v>
      </c>
      <c r="E530" s="137" t="s">
        <v>380</v>
      </c>
      <c r="F530" s="137" t="s">
        <v>423</v>
      </c>
      <c r="G530" s="136" t="str">
        <f>VLOOKUP(A530,Plano_V3!$A$26:$G$592,7,0)</f>
        <v>2.1 Em Teste</v>
      </c>
      <c r="H530" s="136" t="s">
        <v>1921</v>
      </c>
      <c r="I530" s="143" t="s">
        <v>659</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2" t="s">
        <v>26</v>
      </c>
    </row>
    <row r="531" spans="1:15" ht="16.2" hidden="1" customHeight="1">
      <c r="A531" s="30" t="str">
        <f t="shared" si="8"/>
        <v>lt002_instrumentidcmb</v>
      </c>
      <c r="B531" s="142" t="s">
        <v>26</v>
      </c>
      <c r="C531" s="138" t="s">
        <v>26</v>
      </c>
      <c r="D531" s="134" t="s">
        <v>40</v>
      </c>
      <c r="E531" s="137" t="s">
        <v>380</v>
      </c>
      <c r="F531" s="137" t="s">
        <v>424</v>
      </c>
      <c r="G531" s="136" t="str">
        <f>VLOOKUP(A531,Plano_V3!$A$26:$G$592,7,0)</f>
        <v>1. Concluído</v>
      </c>
      <c r="H531" s="136" t="s">
        <v>613</v>
      </c>
      <c r="I531" s="143" t="s">
        <v>659</v>
      </c>
      <c r="J531" s="153" t="str">
        <f>IF(VLOOKUP(A531,'Aux - pivots1'!$A:$E,3,0)=0, "",VLOOKUP(A531,'Aux - pivots1'!$A:$E,3,0))</f>
        <v/>
      </c>
      <c r="K531" s="153" t="str">
        <f>IF(VLOOKUP(A531,'Aux - pivots1'!$A:$E,4,0)=0, "",VLOOKUP(A531,'Aux - pivots1'!$A:$E,4,0))</f>
        <v/>
      </c>
      <c r="L531" s="153" t="str">
        <f>IF(VLOOKUP(A531,'Aux - pivots1'!$A:$E,5,0)=0, "",VLOOKUP(A531,'Aux - pivots1'!$A:$E,5,0))</f>
        <v/>
      </c>
      <c r="M531" s="208"/>
      <c r="N531" s="208"/>
      <c r="O531" s="342" t="s">
        <v>26</v>
      </c>
    </row>
    <row r="532" spans="1:15" ht="16.2" hidden="1" customHeight="1">
      <c r="A532" s="30" t="str">
        <f t="shared" si="8"/>
        <v>lt003_entitycntry</v>
      </c>
      <c r="B532" s="142" t="s">
        <v>26</v>
      </c>
      <c r="C532" s="138" t="s">
        <v>26</v>
      </c>
      <c r="D532" s="134" t="s">
        <v>40</v>
      </c>
      <c r="E532" s="137" t="s">
        <v>336</v>
      </c>
      <c r="F532" s="137" t="s">
        <v>425</v>
      </c>
      <c r="G532" s="136" t="str">
        <f>VLOOKUP(A532,Plano_V3!$A$26:$G$592,7,0)</f>
        <v>1. Concluído</v>
      </c>
      <c r="H532" s="136" t="s">
        <v>613</v>
      </c>
      <c r="I532" s="143" t="s">
        <v>659</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2" t="s">
        <v>26</v>
      </c>
    </row>
    <row r="533" spans="1:15" ht="16.2" hidden="1" customHeight="1">
      <c r="A533" s="30" t="str">
        <f t="shared" si="8"/>
        <v>lt003_entitydt_rfrnc</v>
      </c>
      <c r="B533" s="142" t="s">
        <v>26</v>
      </c>
      <c r="C533" s="138" t="s">
        <v>26</v>
      </c>
      <c r="D533" s="134" t="s">
        <v>40</v>
      </c>
      <c r="E533" s="137" t="s">
        <v>336</v>
      </c>
      <c r="F533" s="137" t="s">
        <v>399</v>
      </c>
      <c r="G533" s="136" t="str">
        <f>VLOOKUP(A533,Plano_V3!$A$26:$G$592,7,0)</f>
        <v>1. Concluído</v>
      </c>
      <c r="H533" s="136" t="s">
        <v>613</v>
      </c>
      <c r="I533" s="143" t="s">
        <v>659</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2" t="s">
        <v>26</v>
      </c>
    </row>
    <row r="534" spans="1:15" ht="16.2" hidden="1" customHeight="1">
      <c r="A534" s="30" t="str">
        <f t="shared" si="8"/>
        <v>lt003_entityentty_id</v>
      </c>
      <c r="B534" s="142" t="s">
        <v>26</v>
      </c>
      <c r="C534" s="138" t="s">
        <v>26</v>
      </c>
      <c r="D534" s="134" t="s">
        <v>40</v>
      </c>
      <c r="E534" s="137" t="s">
        <v>336</v>
      </c>
      <c r="F534" s="137" t="s">
        <v>426</v>
      </c>
      <c r="G534" s="136" t="str">
        <f>VLOOKUP(A534,Plano_V3!$A$26:$G$592,7,0)</f>
        <v>1. Concluído</v>
      </c>
      <c r="H534" s="136" t="s">
        <v>613</v>
      </c>
      <c r="I534" s="143" t="s">
        <v>659</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2" t="s">
        <v>26</v>
      </c>
    </row>
    <row r="535" spans="1:15" ht="16.2" hidden="1" customHeight="1">
      <c r="A535" s="30" t="str">
        <f t="shared" si="8"/>
        <v>lt003_entitylei</v>
      </c>
      <c r="B535" s="142" t="s">
        <v>26</v>
      </c>
      <c r="C535" s="138" t="s">
        <v>26</v>
      </c>
      <c r="D535" s="134" t="s">
        <v>40</v>
      </c>
      <c r="E535" s="137" t="s">
        <v>336</v>
      </c>
      <c r="F535" s="137" t="s">
        <v>427</v>
      </c>
      <c r="G535" s="136" t="str">
        <f>VLOOKUP(A535,Plano_V3!$A$26:$G$592,7,0)</f>
        <v>1. Concluído</v>
      </c>
      <c r="H535" s="136" t="s">
        <v>613</v>
      </c>
      <c r="I535" s="143" t="s">
        <v>659</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2" t="s">
        <v>26</v>
      </c>
    </row>
    <row r="536" spans="1:15" ht="16.2" hidden="1" customHeight="1">
      <c r="A536" s="30" t="str">
        <f t="shared" ref="A536:A564" si="9">E536&amp;F536</f>
        <v>lt003_entityecnmc_actvty</v>
      </c>
      <c r="B536" s="142" t="s">
        <v>26</v>
      </c>
      <c r="C536" s="138" t="s">
        <v>26</v>
      </c>
      <c r="D536" s="134" t="s">
        <v>40</v>
      </c>
      <c r="E536" s="137" t="s">
        <v>336</v>
      </c>
      <c r="F536" s="137" t="s">
        <v>428</v>
      </c>
      <c r="G536" s="136" t="str">
        <f>VLOOKUP(A536,Plano_V3!$A$26:$G$592,7,0)</f>
        <v>1. Concluído</v>
      </c>
      <c r="H536" s="136" t="s">
        <v>613</v>
      </c>
      <c r="I536" s="143" t="s">
        <v>659</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2" t="s">
        <v>26</v>
      </c>
    </row>
    <row r="537" spans="1:15" ht="16.2" hidden="1" customHeight="1">
      <c r="A537" s="30" t="str">
        <f t="shared" si="9"/>
        <v>lt003_entitygrp_eqty</v>
      </c>
      <c r="B537" s="142" t="s">
        <v>26</v>
      </c>
      <c r="C537" s="138" t="s">
        <v>26</v>
      </c>
      <c r="D537" s="134" t="s">
        <v>40</v>
      </c>
      <c r="E537" s="137" t="s">
        <v>336</v>
      </c>
      <c r="F537" s="137" t="s">
        <v>429</v>
      </c>
      <c r="G537" s="136" t="str">
        <f>VLOOKUP(A537,Plano_V3!$A$26:$G$592,7,0)</f>
        <v>1. Concluído</v>
      </c>
      <c r="H537" s="136" t="s">
        <v>613</v>
      </c>
      <c r="I537" s="143" t="s">
        <v>659</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2" t="s">
        <v>26</v>
      </c>
    </row>
    <row r="538" spans="1:15" ht="16.2" hidden="1" customHeight="1">
      <c r="A538" s="30" t="str">
        <f t="shared" si="9"/>
        <v>lt003_entityannl_trnvr_le</v>
      </c>
      <c r="B538" s="142" t="s">
        <v>26</v>
      </c>
      <c r="C538" s="138" t="s">
        <v>26</v>
      </c>
      <c r="D538" s="134" t="s">
        <v>40</v>
      </c>
      <c r="E538" s="137" t="s">
        <v>336</v>
      </c>
      <c r="F538" s="137" t="s">
        <v>430</v>
      </c>
      <c r="G538" s="136" t="str">
        <f>VLOOKUP(A538,Plano_V3!$A$26:$G$592,7,0)</f>
        <v>1. Concluído</v>
      </c>
      <c r="H538" s="136" t="s">
        <v>613</v>
      </c>
      <c r="I538" s="143" t="s">
        <v>659</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2" t="s">
        <v>26</v>
      </c>
    </row>
    <row r="539" spans="1:15" ht="16.2" hidden="1" customHeight="1">
      <c r="A539" s="30" t="str">
        <f t="shared" si="9"/>
        <v>lt003_entityeqty</v>
      </c>
      <c r="B539" s="142" t="s">
        <v>26</v>
      </c>
      <c r="C539" s="138" t="s">
        <v>26</v>
      </c>
      <c r="D539" s="134" t="s">
        <v>40</v>
      </c>
      <c r="E539" s="137" t="s">
        <v>336</v>
      </c>
      <c r="F539" s="137" t="s">
        <v>431</v>
      </c>
      <c r="G539" s="136" t="str">
        <f>VLOOKUP(A539,Plano_V3!$A$26:$G$592,7,0)</f>
        <v>1. Concluído</v>
      </c>
      <c r="H539" s="136" t="s">
        <v>613</v>
      </c>
      <c r="I539" s="143" t="s">
        <v>659</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2" t="s">
        <v>26</v>
      </c>
    </row>
    <row r="540" spans="1:15" ht="16.2" hidden="1" customHeight="1">
      <c r="A540" s="30" t="str">
        <f t="shared" si="9"/>
        <v>lt003_entitygrp_ttl_dbt</v>
      </c>
      <c r="B540" s="142" t="s">
        <v>26</v>
      </c>
      <c r="C540" s="138" t="s">
        <v>26</v>
      </c>
      <c r="D540" s="134" t="s">
        <v>40</v>
      </c>
      <c r="E540" s="137" t="s">
        <v>336</v>
      </c>
      <c r="F540" s="137" t="s">
        <v>432</v>
      </c>
      <c r="G540" s="136" t="str">
        <f>VLOOKUP(A540,Plano_V3!$A$26:$G$592,7,0)</f>
        <v>1. Concluído</v>
      </c>
      <c r="H540" s="136" t="s">
        <v>613</v>
      </c>
      <c r="I540" s="143" t="s">
        <v>659</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2" t="s">
        <v>26</v>
      </c>
    </row>
    <row r="541" spans="1:15" ht="16.2" hidden="1" customHeight="1">
      <c r="A541" s="30" t="str">
        <f t="shared" si="9"/>
        <v>lt003_entityttl_dbt</v>
      </c>
      <c r="B541" s="142" t="s">
        <v>26</v>
      </c>
      <c r="C541" s="138" t="s">
        <v>26</v>
      </c>
      <c r="D541" s="134" t="s">
        <v>40</v>
      </c>
      <c r="E541" s="137" t="s">
        <v>336</v>
      </c>
      <c r="F541" s="137" t="s">
        <v>433</v>
      </c>
      <c r="G541" s="136" t="str">
        <f>VLOOKUP(A541,Plano_V3!$A$26:$G$592,7,0)</f>
        <v>1. Concluído</v>
      </c>
      <c r="H541" s="136" t="s">
        <v>613</v>
      </c>
      <c r="I541" s="143" t="s">
        <v>659</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2" t="s">
        <v>26</v>
      </c>
    </row>
    <row r="542" spans="1:15" ht="16.2" hidden="1" customHeight="1">
      <c r="A542" s="30" t="str">
        <f t="shared" si="9"/>
        <v>lt003_entitycod_soc</v>
      </c>
      <c r="B542" s="142" t="s">
        <v>26</v>
      </c>
      <c r="C542" s="138" t="s">
        <v>26</v>
      </c>
      <c r="D542" s="134" t="s">
        <v>40</v>
      </c>
      <c r="E542" s="137" t="s">
        <v>336</v>
      </c>
      <c r="F542" s="137" t="s">
        <v>417</v>
      </c>
      <c r="G542" s="136" t="str">
        <f>VLOOKUP(A542,Plano_V3!$A$26:$G$592,7,0)</f>
        <v>1. Concluído</v>
      </c>
      <c r="H542" s="136" t="s">
        <v>613</v>
      </c>
      <c r="I542" s="143" t="s">
        <v>659</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2" t="s">
        <v>26</v>
      </c>
    </row>
    <row r="543" spans="1:15" ht="16.2" hidden="1" customHeight="1">
      <c r="A543" s="30" t="str">
        <f t="shared" si="9"/>
        <v>lt004_protectiondt_rfrnc</v>
      </c>
      <c r="B543" s="142" t="s">
        <v>26</v>
      </c>
      <c r="C543" s="138" t="s">
        <v>26</v>
      </c>
      <c r="D543" s="134" t="s">
        <v>40</v>
      </c>
      <c r="E543" s="137" t="s">
        <v>369</v>
      </c>
      <c r="F543" s="317" t="s">
        <v>399</v>
      </c>
      <c r="G543" s="136" t="str">
        <f>VLOOKUP(A543,Plano_V3!$A$26:$G$592,7,0)</f>
        <v>1. Concluído</v>
      </c>
      <c r="H543" s="136" t="s">
        <v>613</v>
      </c>
      <c r="I543" s="143" t="s">
        <v>659</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2" t="s">
        <v>26</v>
      </c>
    </row>
    <row r="544" spans="1:15" ht="16.2" hidden="1" customHeight="1">
      <c r="A544" s="30" t="str">
        <f t="shared" si="9"/>
        <v>lt004_protectionprtctn_id</v>
      </c>
      <c r="B544" s="142" t="s">
        <v>26</v>
      </c>
      <c r="C544" s="138" t="s">
        <v>26</v>
      </c>
      <c r="D544" s="134" t="s">
        <v>40</v>
      </c>
      <c r="E544" s="137" t="s">
        <v>369</v>
      </c>
      <c r="F544" s="317" t="s">
        <v>434</v>
      </c>
      <c r="G544" s="136" t="str">
        <f>VLOOKUP(A544,Plano_V3!$A$26:$G$592,7,0)</f>
        <v>1. Concluído</v>
      </c>
      <c r="H544" s="136" t="s">
        <v>613</v>
      </c>
      <c r="I544" s="143" t="s">
        <v>659</v>
      </c>
      <c r="J544" s="153">
        <f>IF(VLOOKUP(A544,'Aux - pivots1'!$A:$E,3,0)=0, "",VLOOKUP(A544,'Aux - pivots1'!$A:$E,3,0))</f>
        <v>45589</v>
      </c>
      <c r="K544" s="153">
        <f>IF(VLOOKUP(A544,'Aux - pivots1'!$A:$E,4,0)=0, "",VLOOKUP(A544,'Aux - pivots1'!$A:$E,4,0))</f>
        <v>45611</v>
      </c>
      <c r="L544" s="153">
        <f>IF(VLOOKUP(A544,'Aux - pivots1'!$A:$E,5,0)=0, "",VLOOKUP(A544,'Aux - pivots1'!$A:$E,5,0))</f>
        <v>45611</v>
      </c>
      <c r="M544" s="208">
        <v>45588</v>
      </c>
      <c r="N544" s="208"/>
      <c r="O544" s="342" t="s">
        <v>26</v>
      </c>
    </row>
    <row r="545" spans="1:15" ht="16.2" hidden="1" customHeight="1">
      <c r="A545" s="30" t="str">
        <f t="shared" si="9"/>
        <v>lt004_protectionrl_estt_clltrl_lctn</v>
      </c>
      <c r="B545" s="142" t="s">
        <v>26</v>
      </c>
      <c r="C545" s="138" t="s">
        <v>26</v>
      </c>
      <c r="D545" s="134" t="s">
        <v>40</v>
      </c>
      <c r="E545" s="137" t="s">
        <v>369</v>
      </c>
      <c r="F545" s="317" t="s">
        <v>435</v>
      </c>
      <c r="G545" s="136" t="str">
        <f>VLOOKUP(A545,Plano_V3!$A$26:$G$592,7,0)</f>
        <v>1. Concluído</v>
      </c>
      <c r="H545" s="136" t="s">
        <v>613</v>
      </c>
      <c r="I545" s="143" t="s">
        <v>659</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2" t="s">
        <v>26</v>
      </c>
    </row>
    <row r="546" spans="1:15" ht="16.2" hidden="1" customHeight="1">
      <c r="A546" s="30" t="str">
        <f t="shared" si="9"/>
        <v>lt004_protectionrl_estt_pst_cd</v>
      </c>
      <c r="B546" s="142" t="s">
        <v>26</v>
      </c>
      <c r="C546" s="138" t="s">
        <v>26</v>
      </c>
      <c r="D546" s="134" t="s">
        <v>40</v>
      </c>
      <c r="E546" s="137" t="s">
        <v>369</v>
      </c>
      <c r="F546" s="317" t="s">
        <v>436</v>
      </c>
      <c r="G546" s="136" t="str">
        <f>VLOOKUP(A546,Plano_V3!$A$26:$G$592,7,0)</f>
        <v>1. Concluído</v>
      </c>
      <c r="H546" s="136" t="s">
        <v>613</v>
      </c>
      <c r="I546" s="143" t="s">
        <v>659</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2" t="s">
        <v>26</v>
      </c>
    </row>
    <row r="547" spans="1:15" ht="16.2" hidden="1">
      <c r="A547" s="30" t="str">
        <f t="shared" si="9"/>
        <v>lt004_protectiontyp_prtctn</v>
      </c>
      <c r="B547" s="142" t="s">
        <v>26</v>
      </c>
      <c r="C547" s="138" t="s">
        <v>26</v>
      </c>
      <c r="D547" s="134" t="s">
        <v>40</v>
      </c>
      <c r="E547" s="137" t="s">
        <v>369</v>
      </c>
      <c r="F547" s="317" t="s">
        <v>437</v>
      </c>
      <c r="G547" s="136" t="str">
        <f>VLOOKUP(A547,Plano_V3!$A$26:$G$592,7,0)</f>
        <v>1. Concluído</v>
      </c>
      <c r="H547" s="136" t="s">
        <v>616</v>
      </c>
      <c r="I547" s="143" t="s">
        <v>1930</v>
      </c>
      <c r="J547" s="153">
        <f>IF(VLOOKUP(A547,'Aux - pivots1'!$A:$E,3,0)=0, "",VLOOKUP(A547,'Aux - pivots1'!$A:$E,3,0))</f>
        <v>45588</v>
      </c>
      <c r="K547" s="153">
        <f>IF(VLOOKUP(A547,'Aux - pivots1'!$A:$E,4,0)=0, "",VLOOKUP(A547,'Aux - pivots1'!$A:$E,4,0))</f>
        <v>45624</v>
      </c>
      <c r="L547" s="153">
        <f>IF(VLOOKUP(A547,'Aux - pivots1'!$A:$E,5,0)=0, "",VLOOKUP(A547,'Aux - pivots1'!$A:$E,5,0))</f>
        <v>45624</v>
      </c>
      <c r="M547" s="208">
        <v>45595</v>
      </c>
      <c r="N547" s="208"/>
      <c r="O547" s="342" t="s">
        <v>26</v>
      </c>
    </row>
    <row r="548" spans="1:15" ht="16.2" hidden="1">
      <c r="A548" s="30" t="str">
        <f t="shared" si="9"/>
        <v>lt004_protectionorgnl_prtctn_vl</v>
      </c>
      <c r="B548" s="142" t="s">
        <v>26</v>
      </c>
      <c r="C548" s="138" t="s">
        <v>26</v>
      </c>
      <c r="D548" s="134" t="s">
        <v>40</v>
      </c>
      <c r="E548" s="137" t="s">
        <v>369</v>
      </c>
      <c r="F548" s="317" t="s">
        <v>438</v>
      </c>
      <c r="G548" s="136" t="str">
        <f>VLOOKUP(A548,Plano_V3!$A$26:$G$592,7,0)</f>
        <v>5. Em Correção</v>
      </c>
      <c r="H548" s="136" t="s">
        <v>616</v>
      </c>
      <c r="I548" s="143" t="s">
        <v>659</v>
      </c>
      <c r="J548" s="153">
        <f>IF(VLOOKUP(A548,'Aux - pivots1'!$A:$E,3,0)=0, "",VLOOKUP(A548,'Aux - pivots1'!$A:$E,3,0))</f>
        <v>45595</v>
      </c>
      <c r="K548" s="153">
        <f>IF(VLOOKUP(A548,'Aux - pivots1'!$A:$E,4,0)=0, "",VLOOKUP(A548,'Aux - pivots1'!$A:$E,4,0))</f>
        <v>45611</v>
      </c>
      <c r="L548" s="153">
        <f>IF(VLOOKUP(A548,'Aux - pivots1'!$A:$E,5,0)=0, "",VLOOKUP(A548,'Aux - pivots1'!$A:$E,5,0))</f>
        <v>45611</v>
      </c>
      <c r="M548" s="208">
        <v>45595</v>
      </c>
      <c r="N548" s="208"/>
      <c r="O548" s="342" t="s">
        <v>26</v>
      </c>
    </row>
    <row r="549" spans="1:15" ht="16.2" hidden="1" customHeight="1">
      <c r="A549" s="30" t="str">
        <f t="shared" si="9"/>
        <v>lt004_protectionprtctn_vl</v>
      </c>
      <c r="B549" s="142" t="s">
        <v>26</v>
      </c>
      <c r="C549" s="138" t="s">
        <v>26</v>
      </c>
      <c r="D549" s="134" t="s">
        <v>40</v>
      </c>
      <c r="E549" s="137" t="s">
        <v>369</v>
      </c>
      <c r="F549" s="317" t="s">
        <v>439</v>
      </c>
      <c r="G549" s="136" t="str">
        <f>VLOOKUP(A549,Plano_V3!$A$26:$G$592,7,0)</f>
        <v>1. Concluído</v>
      </c>
      <c r="H549" s="136" t="s">
        <v>616</v>
      </c>
      <c r="I549" s="143" t="s">
        <v>659</v>
      </c>
      <c r="J549" s="153">
        <f>IF(VLOOKUP(A549,'Aux - pivots1'!$A:$E,3,0)=0, "",VLOOKUP(A549,'Aux - pivots1'!$A:$E,3,0))</f>
        <v>45589</v>
      </c>
      <c r="K549" s="153">
        <f>IF(VLOOKUP(A549,'Aux - pivots1'!$A:$E,4,0)=0, "",VLOOKUP(A549,'Aux - pivots1'!$A:$E,4,0))</f>
        <v>45624</v>
      </c>
      <c r="L549" s="153">
        <f>IF(VLOOKUP(A549,'Aux - pivots1'!$A:$E,5,0)=0, "",VLOOKUP(A549,'Aux - pivots1'!$A:$E,5,0))</f>
        <v>45624</v>
      </c>
      <c r="M549" s="208">
        <v>45588</v>
      </c>
      <c r="N549" s="208"/>
      <c r="O549" s="342" t="s">
        <v>26</v>
      </c>
    </row>
    <row r="550" spans="1:15" ht="16.2" hidden="1" customHeight="1">
      <c r="A550" s="30" t="str">
        <f t="shared" si="9"/>
        <v>lt004_protectioncod_soc</v>
      </c>
      <c r="B550" s="142" t="s">
        <v>26</v>
      </c>
      <c r="C550" s="138" t="s">
        <v>26</v>
      </c>
      <c r="D550" s="134" t="s">
        <v>40</v>
      </c>
      <c r="E550" s="137" t="s">
        <v>369</v>
      </c>
      <c r="F550" s="137" t="s">
        <v>417</v>
      </c>
      <c r="G550" s="136" t="str">
        <f>VLOOKUP(A550,Plano_V3!$A$26:$G$592,7,0)</f>
        <v>1. Concluído</v>
      </c>
      <c r="H550" s="136" t="s">
        <v>613</v>
      </c>
      <c r="I550" s="143" t="s">
        <v>659</v>
      </c>
      <c r="J550" s="153" t="str">
        <f>IF(VLOOKUP(A550,'Aux - pivots1'!$A:$E,3,0)=0, "",VLOOKUP(A550,'Aux - pivots1'!$A:$E,3,0))</f>
        <v/>
      </c>
      <c r="K550" s="153" t="str">
        <f>IF(VLOOKUP(A550,'Aux - pivots1'!$A:$E,4,0)=0, "",VLOOKUP(A550,'Aux - pivots1'!$A:$E,4,0))</f>
        <v/>
      </c>
      <c r="L550" s="153" t="str">
        <f>IF(VLOOKUP(A550,'Aux - pivots1'!$A:$E,5,0)=0, "",VLOOKUP(A550,'Aux - pivots1'!$A:$E,5,0))</f>
        <v/>
      </c>
      <c r="M550" s="208"/>
      <c r="N550" s="208"/>
      <c r="O550" s="342" t="s">
        <v>26</v>
      </c>
    </row>
    <row r="551" spans="1:15" ht="16.2" hidden="1" customHeight="1">
      <c r="A551" s="30" t="str">
        <f t="shared" si="9"/>
        <v>lt005_instr_entdt_rfrnc</v>
      </c>
      <c r="B551" s="142" t="s">
        <v>26</v>
      </c>
      <c r="C551" s="138" t="s">
        <v>26</v>
      </c>
      <c r="D551" s="134" t="s">
        <v>40</v>
      </c>
      <c r="E551" s="137" t="s">
        <v>440</v>
      </c>
      <c r="F551" s="137" t="s">
        <v>399</v>
      </c>
      <c r="G551" s="136" t="str">
        <f>VLOOKUP(A551,Plano_V3!$A$26:$G$592,7,0)</f>
        <v>1. Concluído</v>
      </c>
      <c r="H551" s="136" t="s">
        <v>613</v>
      </c>
      <c r="I551" s="143" t="s">
        <v>659</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2" t="s">
        <v>26</v>
      </c>
    </row>
    <row r="552" spans="1:15" ht="16.2" hidden="1" customHeight="1">
      <c r="A552" s="30" t="str">
        <f t="shared" si="9"/>
        <v>lt005_instr_ententty_id</v>
      </c>
      <c r="B552" s="142" t="s">
        <v>26</v>
      </c>
      <c r="C552" s="138" t="s">
        <v>26</v>
      </c>
      <c r="D552" s="134" t="s">
        <v>40</v>
      </c>
      <c r="E552" s="137" t="s">
        <v>440</v>
      </c>
      <c r="F552" s="137" t="s">
        <v>426</v>
      </c>
      <c r="G552" s="136" t="str">
        <f>VLOOKUP(A552,Plano_V3!$A$26:$G$592,7,0)</f>
        <v>1. Concluído</v>
      </c>
      <c r="H552" s="136" t="s">
        <v>613</v>
      </c>
      <c r="I552" s="143" t="s">
        <v>659</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2" t="s">
        <v>26</v>
      </c>
    </row>
    <row r="553" spans="1:15" ht="16.2" hidden="1" customHeight="1">
      <c r="A553" s="30" t="str">
        <f t="shared" si="9"/>
        <v>lt005_instr_entinstrmnt_id</v>
      </c>
      <c r="B553" s="142" t="s">
        <v>26</v>
      </c>
      <c r="C553" s="138" t="s">
        <v>26</v>
      </c>
      <c r="D553" s="134" t="s">
        <v>40</v>
      </c>
      <c r="E553" s="137" t="s">
        <v>440</v>
      </c>
      <c r="F553" s="137" t="s">
        <v>401</v>
      </c>
      <c r="G553" s="136" t="str">
        <f>VLOOKUP(A553,Plano_V3!$A$26:$G$592,7,0)</f>
        <v>1. Concluído</v>
      </c>
      <c r="H553" s="136" t="s">
        <v>613</v>
      </c>
      <c r="I553" s="143" t="s">
        <v>659</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2" t="s">
        <v>26</v>
      </c>
    </row>
    <row r="554" spans="1:15" ht="16.2" hidden="1" customHeight="1">
      <c r="A554" s="30" t="str">
        <f t="shared" si="9"/>
        <v>lt005_instr_entcod_soc</v>
      </c>
      <c r="B554" s="142" t="s">
        <v>26</v>
      </c>
      <c r="C554" s="138" t="s">
        <v>26</v>
      </c>
      <c r="D554" s="134" t="s">
        <v>40</v>
      </c>
      <c r="E554" s="137" t="s">
        <v>440</v>
      </c>
      <c r="F554" s="137" t="s">
        <v>417</v>
      </c>
      <c r="G554" s="136" t="str">
        <f>VLOOKUP(A554,Plano_V3!$A$26:$G$592,7,0)</f>
        <v>1. Concluído</v>
      </c>
      <c r="H554" s="136" t="s">
        <v>613</v>
      </c>
      <c r="I554" s="143" t="s">
        <v>659</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2" t="s">
        <v>26</v>
      </c>
    </row>
    <row r="555" spans="1:15" ht="16.2" hidden="1" customHeight="1">
      <c r="A555" s="30" t="str">
        <f t="shared" si="9"/>
        <v>lt005_instr_entmn_entty_id</v>
      </c>
      <c r="B555" s="142" t="s">
        <v>26</v>
      </c>
      <c r="C555" s="138" t="s">
        <v>26</v>
      </c>
      <c r="D555" s="134" t="s">
        <v>40</v>
      </c>
      <c r="E555" s="137" t="s">
        <v>440</v>
      </c>
      <c r="F555" s="137" t="s">
        <v>441</v>
      </c>
      <c r="G555" s="136" t="str">
        <f>VLOOKUP(A555,Plano_V3!$A$26:$G$592,7,0)</f>
        <v>1. Concluído</v>
      </c>
      <c r="H555" s="136" t="s">
        <v>613</v>
      </c>
      <c r="I555" s="143" t="s">
        <v>659</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2" t="s">
        <v>26</v>
      </c>
    </row>
    <row r="556" spans="1:15" ht="16.2" hidden="1" customHeight="1">
      <c r="A556" s="30" t="str">
        <f t="shared" si="9"/>
        <v>lt006_instr_protdt_rfrnc</v>
      </c>
      <c r="B556" s="142" t="s">
        <v>26</v>
      </c>
      <c r="C556" s="138" t="s">
        <v>26</v>
      </c>
      <c r="D556" s="134" t="s">
        <v>40</v>
      </c>
      <c r="E556" s="137" t="s">
        <v>442</v>
      </c>
      <c r="F556" s="137" t="s">
        <v>399</v>
      </c>
      <c r="G556" s="136" t="str">
        <f>VLOOKUP(A556,Plano_V3!$A$26:$G$592,7,0)</f>
        <v>1. Concluído</v>
      </c>
      <c r="H556" s="136" t="s">
        <v>613</v>
      </c>
      <c r="I556" s="143" t="s">
        <v>659</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2" t="s">
        <v>26</v>
      </c>
    </row>
    <row r="557" spans="1:15" ht="16.2" hidden="1" customHeight="1">
      <c r="A557" s="30" t="str">
        <f t="shared" si="9"/>
        <v>lt006_instr_protinstrmnt_id</v>
      </c>
      <c r="B557" s="142" t="s">
        <v>26</v>
      </c>
      <c r="C557" s="138" t="s">
        <v>26</v>
      </c>
      <c r="D557" s="134" t="s">
        <v>40</v>
      </c>
      <c r="E557" s="137" t="s">
        <v>442</v>
      </c>
      <c r="F557" s="137" t="s">
        <v>401</v>
      </c>
      <c r="G557" s="136" t="str">
        <f>VLOOKUP(A557,Plano_V3!$A$26:$G$592,7,0)</f>
        <v>1. Concluído</v>
      </c>
      <c r="H557" s="136" t="s">
        <v>613</v>
      </c>
      <c r="I557" s="143" t="s">
        <v>659</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2" t="s">
        <v>26</v>
      </c>
    </row>
    <row r="558" spans="1:15" ht="16.2" hidden="1" customHeight="1">
      <c r="A558" s="30" t="str">
        <f t="shared" si="9"/>
        <v>lt006_instr_protprtctn_id</v>
      </c>
      <c r="B558" s="142" t="s">
        <v>26</v>
      </c>
      <c r="C558" s="138" t="s">
        <v>26</v>
      </c>
      <c r="D558" s="134" t="s">
        <v>40</v>
      </c>
      <c r="E558" s="137" t="s">
        <v>442</v>
      </c>
      <c r="F558" s="137" t="s">
        <v>434</v>
      </c>
      <c r="G558" s="136" t="str">
        <f>VLOOKUP(A558,Plano_V3!$A$26:$G$592,7,0)</f>
        <v>1. Concluído</v>
      </c>
      <c r="H558" s="136" t="s">
        <v>613</v>
      </c>
      <c r="I558" s="143" t="s">
        <v>659</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2" t="s">
        <v>26</v>
      </c>
    </row>
    <row r="559" spans="1:15" ht="16.2" hidden="1" customHeight="1">
      <c r="A559" s="30" t="str">
        <f t="shared" si="9"/>
        <v>lt006_instr_protprtctn_allctd_vl</v>
      </c>
      <c r="B559" s="142" t="s">
        <v>26</v>
      </c>
      <c r="C559" s="138" t="s">
        <v>26</v>
      </c>
      <c r="D559" s="134" t="s">
        <v>40</v>
      </c>
      <c r="E559" s="137" t="s">
        <v>442</v>
      </c>
      <c r="F559" s="137" t="s">
        <v>443</v>
      </c>
      <c r="G559" s="136" t="str">
        <f>VLOOKUP(A559,Plano_V3!$A$26:$G$592,7,0)</f>
        <v>1. Concluído</v>
      </c>
      <c r="H559" s="136" t="s">
        <v>613</v>
      </c>
      <c r="I559" s="143" t="s">
        <v>659</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2" t="s">
        <v>26</v>
      </c>
    </row>
    <row r="560" spans="1:15" ht="16.2" hidden="1" customHeight="1">
      <c r="A560" s="30" t="str">
        <f t="shared" si="9"/>
        <v>lt006_instr_protcod_soc</v>
      </c>
      <c r="B560" s="142" t="s">
        <v>26</v>
      </c>
      <c r="C560" s="138" t="s">
        <v>26</v>
      </c>
      <c r="D560" s="134" t="s">
        <v>40</v>
      </c>
      <c r="E560" s="137" t="s">
        <v>442</v>
      </c>
      <c r="F560" s="137" t="s">
        <v>417</v>
      </c>
      <c r="G560" s="136" t="str">
        <f>VLOOKUP(A560,Plano_V3!$A$26:$G$592,7,0)</f>
        <v>1. Concluído</v>
      </c>
      <c r="H560" s="136" t="s">
        <v>613</v>
      </c>
      <c r="I560" s="143" t="s">
        <v>659</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2" t="s">
        <v>26</v>
      </c>
    </row>
    <row r="561" spans="1:15" ht="16.2" hidden="1" customHeight="1">
      <c r="A561" s="30" t="str">
        <f t="shared" si="9"/>
        <v>lt004_protectionflg_fin</v>
      </c>
      <c r="B561" s="142" t="s">
        <v>26</v>
      </c>
      <c r="C561" s="138" t="s">
        <v>26</v>
      </c>
      <c r="D561" s="134" t="s">
        <v>40</v>
      </c>
      <c r="E561" s="137" t="s">
        <v>369</v>
      </c>
      <c r="F561" s="137" t="s">
        <v>481</v>
      </c>
      <c r="G561" s="136" t="str">
        <f>VLOOKUP(A561,Plano_V3!$A$26:$G$592,7,0)</f>
        <v>1. Concluído</v>
      </c>
      <c r="H561" s="136" t="s">
        <v>613</v>
      </c>
      <c r="I561" s="143" t="s">
        <v>1932</v>
      </c>
      <c r="J561" s="153">
        <f>IF(VLOOKUP(A561,'Aux - pivots1'!$A:$E,3,0)=0, "",VLOOKUP(A561,'Aux - pivots1'!$A:$E,3,0))</f>
        <v>45593</v>
      </c>
      <c r="K561" s="153">
        <f>IF(VLOOKUP(A561,'Aux - pivots1'!$A:$E,4,0)=0, "",VLOOKUP(A561,'Aux - pivots1'!$A:$E,4,0))</f>
        <v>45624</v>
      </c>
      <c r="L561" s="153">
        <f>IF(VLOOKUP(A561,'Aux - pivots1'!$A:$E,5,0)=0, "",VLOOKUP(A561,'Aux - pivots1'!$A:$E,5,0))</f>
        <v>45624</v>
      </c>
      <c r="M561" s="208"/>
      <c r="N561" s="208"/>
      <c r="O561" s="342" t="s">
        <v>26</v>
      </c>
    </row>
    <row r="562" spans="1:15" ht="16.2" hidden="1" customHeight="1">
      <c r="A562" s="30" t="str">
        <f t="shared" si="9"/>
        <v>lt004_protectionflg_exec</v>
      </c>
      <c r="B562" s="142" t="s">
        <v>26</v>
      </c>
      <c r="C562" s="138" t="s">
        <v>26</v>
      </c>
      <c r="D562" s="134" t="s">
        <v>40</v>
      </c>
      <c r="E562" s="137" t="s">
        <v>369</v>
      </c>
      <c r="F562" s="137" t="s">
        <v>1355</v>
      </c>
      <c r="G562" s="136" t="str">
        <f>VLOOKUP(A562,Plano_V3!$A$26:$G$592,7,0)</f>
        <v>1. Concluído</v>
      </c>
      <c r="H562" s="136" t="s">
        <v>613</v>
      </c>
      <c r="I562" s="143" t="s">
        <v>1932</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2" t="s">
        <v>26</v>
      </c>
    </row>
    <row r="563" spans="1:15" ht="16.2" hidden="1" customHeight="1">
      <c r="A563" s="30" t="str">
        <f t="shared" si="9"/>
        <v>lt004_protectionflg_col</v>
      </c>
      <c r="B563" s="142" t="s">
        <v>26</v>
      </c>
      <c r="C563" s="138" t="s">
        <v>26</v>
      </c>
      <c r="D563" s="134" t="s">
        <v>40</v>
      </c>
      <c r="E563" s="137" t="s">
        <v>369</v>
      </c>
      <c r="F563" s="137" t="s">
        <v>480</v>
      </c>
      <c r="G563" s="136" t="str">
        <f>VLOOKUP(A563,Plano_V3!$A$26:$G$592,7,0)</f>
        <v>1. Concluído</v>
      </c>
      <c r="H563" s="136" t="s">
        <v>616</v>
      </c>
      <c r="I563" s="143" t="s">
        <v>1932</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2" t="s">
        <v>26</v>
      </c>
    </row>
    <row r="564" spans="1:15" ht="16.2" hidden="1" customHeight="1">
      <c r="A564" s="30" t="str">
        <f t="shared" si="9"/>
        <v>lt004_protectionflg_pro</v>
      </c>
      <c r="B564" s="142" t="s">
        <v>26</v>
      </c>
      <c r="C564" s="138" t="s">
        <v>26</v>
      </c>
      <c r="D564" s="134" t="s">
        <v>40</v>
      </c>
      <c r="E564" s="137" t="s">
        <v>369</v>
      </c>
      <c r="F564" s="137" t="s">
        <v>482</v>
      </c>
      <c r="G564" s="136" t="str">
        <f>VLOOKUP(A564,Plano_V3!$A$26:$G$592,7,0)</f>
        <v>1. Concluído</v>
      </c>
      <c r="H564" s="136" t="s">
        <v>613</v>
      </c>
      <c r="I564" s="143" t="s">
        <v>1932</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2" t="s">
        <v>26</v>
      </c>
    </row>
    <row r="565" spans="1:15" ht="16.2" hidden="1" customHeight="1">
      <c r="A565" s="30" t="str">
        <f t="shared" ref="A565:A574" si="10">E565&amp;F565</f>
        <v>modesg_inp_emss_nacenome_regiao</v>
      </c>
      <c r="B565" s="142" t="s">
        <v>26</v>
      </c>
      <c r="C565" s="138" t="s">
        <v>181</v>
      </c>
      <c r="D565" s="134" t="s">
        <v>40</v>
      </c>
      <c r="E565" s="135" t="s">
        <v>219</v>
      </c>
      <c r="F565" s="134" t="s">
        <v>221</v>
      </c>
      <c r="G565" s="136" t="s">
        <v>612</v>
      </c>
      <c r="H565" s="136" t="s">
        <v>612</v>
      </c>
      <c r="I565" s="143"/>
      <c r="J565" s="153" t="str">
        <f>IF(VLOOKUP(A565,'Aux - pivots1'!$A:$E,3,0)=0, "",VLOOKUP(A565,'Aux - pivots1'!$A:$E,3,0))</f>
        <v/>
      </c>
      <c r="K565" s="153" t="str">
        <f>IF(VLOOKUP(A565,'Aux - pivots1'!$A:$E,4,0)=0, "",VLOOKUP(A565,'Aux - pivots1'!$A:$E,4,0))</f>
        <v/>
      </c>
      <c r="L565" s="153" t="str">
        <f>IF(VLOOKUP(A565,'Aux - pivots1'!$A:$E,5,0)=0, "",VLOOKUP(A565,'Aux - pivots1'!$A:$E,5,0))</f>
        <v/>
      </c>
      <c r="M565" s="208"/>
      <c r="N565" s="208"/>
      <c r="O565" s="342" t="s">
        <v>29</v>
      </c>
    </row>
    <row r="566" spans="1:15" ht="16.2" hidden="1" customHeight="1">
      <c r="A566" s="30" t="str">
        <f t="shared" si="10"/>
        <v>modesg_inp_emss_nacearea_atividade</v>
      </c>
      <c r="B566" s="142" t="s">
        <v>26</v>
      </c>
      <c r="C566" s="138" t="s">
        <v>181</v>
      </c>
      <c r="D566" s="134" t="s">
        <v>40</v>
      </c>
      <c r="E566" s="135" t="s">
        <v>219</v>
      </c>
      <c r="F566" s="134" t="s">
        <v>660</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2" t="s">
        <v>29</v>
      </c>
    </row>
    <row r="567" spans="1:15" ht="16.2" hidden="1" customHeight="1">
      <c r="A567" s="30" t="str">
        <f t="shared" si="10"/>
        <v>modesg_inp_emss_nacetipo_atividade</v>
      </c>
      <c r="B567" s="142" t="s">
        <v>26</v>
      </c>
      <c r="C567" s="138" t="s">
        <v>181</v>
      </c>
      <c r="D567" s="134" t="s">
        <v>40</v>
      </c>
      <c r="E567" s="135" t="s">
        <v>219</v>
      </c>
      <c r="F567" s="134" t="s">
        <v>661</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2" t="s">
        <v>29</v>
      </c>
    </row>
    <row r="568" spans="1:15" ht="16.2" hidden="1" customHeight="1">
      <c r="A568" s="30" t="str">
        <f t="shared" si="10"/>
        <v>modesg_inp_emss_nacesub_tipo_atividade_1</v>
      </c>
      <c r="B568" s="142" t="s">
        <v>26</v>
      </c>
      <c r="C568" s="138" t="s">
        <v>181</v>
      </c>
      <c r="D568" s="134" t="s">
        <v>40</v>
      </c>
      <c r="E568" s="135" t="s">
        <v>219</v>
      </c>
      <c r="F568" s="134" t="s">
        <v>662</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2" t="s">
        <v>29</v>
      </c>
    </row>
    <row r="569" spans="1:15" ht="16.2" hidden="1" customHeight="1">
      <c r="A569" s="30" t="str">
        <f t="shared" si="10"/>
        <v>modesg_inp_emss_nacesub_tipo_atividade_2</v>
      </c>
      <c r="B569" s="142" t="s">
        <v>26</v>
      </c>
      <c r="C569" s="138" t="s">
        <v>181</v>
      </c>
      <c r="D569" s="134" t="s">
        <v>40</v>
      </c>
      <c r="E569" s="135" t="s">
        <v>219</v>
      </c>
      <c r="F569" s="134" t="s">
        <v>663</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2" t="s">
        <v>29</v>
      </c>
    </row>
    <row r="570" spans="1:15" ht="16.2" hidden="1" customHeight="1">
      <c r="A570" s="30" t="str">
        <f t="shared" si="10"/>
        <v>modesg_inp_emss_naceunidades_unidade_funcional</v>
      </c>
      <c r="B570" s="142" t="s">
        <v>26</v>
      </c>
      <c r="C570" s="138" t="s">
        <v>181</v>
      </c>
      <c r="D570" s="134" t="s">
        <v>40</v>
      </c>
      <c r="E570" s="135" t="s">
        <v>219</v>
      </c>
      <c r="F570" s="134" t="s">
        <v>664</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2" t="s">
        <v>29</v>
      </c>
    </row>
    <row r="571" spans="1:15" ht="16.2" hidden="1" customHeight="1">
      <c r="A571" s="30" t="str">
        <f t="shared" si="10"/>
        <v>modesg_inp_emss_nacefator_emissao</v>
      </c>
      <c r="B571" s="142" t="s">
        <v>26</v>
      </c>
      <c r="C571" s="138" t="s">
        <v>181</v>
      </c>
      <c r="D571" s="134" t="s">
        <v>40</v>
      </c>
      <c r="E571" s="135" t="s">
        <v>219</v>
      </c>
      <c r="F571" s="134" t="s">
        <v>665</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2" t="s">
        <v>29</v>
      </c>
    </row>
    <row r="572" spans="1:15" ht="16.2" hidden="1" customHeight="1">
      <c r="A572" s="30" t="str">
        <f t="shared" si="10"/>
        <v>modesg_inp_km_medios_emss_vclsmedia_scp1_emss</v>
      </c>
      <c r="B572" s="142" t="s">
        <v>26</v>
      </c>
      <c r="C572" s="138" t="s">
        <v>181</v>
      </c>
      <c r="D572" s="134" t="s">
        <v>40</v>
      </c>
      <c r="E572" s="135" t="s">
        <v>214</v>
      </c>
      <c r="F572" s="134" t="s">
        <v>666</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2" t="s">
        <v>29</v>
      </c>
    </row>
    <row r="573" spans="1:15" ht="16.2" hidden="1" customHeight="1">
      <c r="A573" s="30" t="str">
        <f t="shared" si="10"/>
        <v>modesg_inp_km_medios_emss_vclsmedia_scp2_emss</v>
      </c>
      <c r="B573" s="142" t="s">
        <v>26</v>
      </c>
      <c r="C573" s="138" t="s">
        <v>181</v>
      </c>
      <c r="D573" s="134" t="s">
        <v>40</v>
      </c>
      <c r="E573" s="135" t="s">
        <v>214</v>
      </c>
      <c r="F573" s="134" t="s">
        <v>667</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2" t="s">
        <v>29</v>
      </c>
    </row>
    <row r="574" spans="1:15" ht="16.2" hidden="1" customHeight="1">
      <c r="A574" s="30" t="str">
        <f t="shared" si="10"/>
        <v>modesg_inp_km_medios_emss_vclsmedia_scp3_emss</v>
      </c>
      <c r="B574" s="146" t="s">
        <v>26</v>
      </c>
      <c r="C574" s="147" t="s">
        <v>181</v>
      </c>
      <c r="D574" s="148" t="s">
        <v>40</v>
      </c>
      <c r="E574" s="149" t="s">
        <v>214</v>
      </c>
      <c r="F574" s="148" t="s">
        <v>668</v>
      </c>
      <c r="G574" s="150" t="s">
        <v>612</v>
      </c>
      <c r="H574" s="150" t="s">
        <v>612</v>
      </c>
      <c r="I574" s="151"/>
      <c r="J574" s="153" t="str">
        <f>IF(VLOOKUP(A574,'Aux - pivots1'!$A:$E,3,0)=0, "",VLOOKUP(A574,'Aux - pivots1'!$A:$E,3,0))</f>
        <v/>
      </c>
      <c r="K574" s="153" t="str">
        <f>IF(VLOOKUP(A574,'Aux - pivots1'!$A:$E,4,0)=0, "",VLOOKUP(A574,'Aux - pivots1'!$A:$E,4,0))</f>
        <v/>
      </c>
      <c r="L574" s="153" t="str">
        <f>IF(VLOOKUP(A574,'Aux - pivots1'!$A:$E,5,0)=0, "",VLOOKUP(A574,'Aux - pivots1'!$A:$E,5,0))</f>
        <v/>
      </c>
      <c r="M574" s="210"/>
      <c r="N574" s="210"/>
      <c r="O574" s="342"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6"/>
      <c r="N10" s="26"/>
      <c r="O10" s="26"/>
      <c r="R10" s="91">
        <f t="shared" ref="R10:AW10" si="4">SUBTOTAL(9,R14:R592)</f>
        <v>0</v>
      </c>
      <c r="S10" s="91">
        <f t="shared" si="4"/>
        <v>0</v>
      </c>
      <c r="T10" s="91">
        <f t="shared" si="4"/>
        <v>0</v>
      </c>
      <c r="U10" s="91">
        <f t="shared" si="4"/>
        <v>0</v>
      </c>
      <c r="V10" s="91">
        <f t="shared" si="4"/>
        <v>0</v>
      </c>
      <c r="W10" s="91">
        <f t="shared" si="4"/>
        <v>2</v>
      </c>
      <c r="X10" s="91">
        <f t="shared" si="4"/>
        <v>2</v>
      </c>
      <c r="Y10" s="91">
        <f t="shared" si="4"/>
        <v>2</v>
      </c>
      <c r="Z10" s="91">
        <f t="shared" si="4"/>
        <v>2</v>
      </c>
      <c r="AA10" s="91">
        <f t="shared" si="4"/>
        <v>2</v>
      </c>
      <c r="AB10" s="91">
        <f t="shared" si="4"/>
        <v>2</v>
      </c>
      <c r="AC10" s="91">
        <f t="shared" si="4"/>
        <v>2</v>
      </c>
      <c r="AD10" s="91">
        <f t="shared" si="4"/>
        <v>2</v>
      </c>
      <c r="AE10" s="91">
        <f t="shared" si="4"/>
        <v>2</v>
      </c>
      <c r="AF10" s="91">
        <f t="shared" si="4"/>
        <v>2</v>
      </c>
      <c r="AG10" s="91">
        <f t="shared" si="4"/>
        <v>2</v>
      </c>
      <c r="AH10" s="91">
        <f t="shared" si="4"/>
        <v>2</v>
      </c>
      <c r="AI10" s="91">
        <f t="shared" si="4"/>
        <v>1</v>
      </c>
      <c r="AJ10" s="91">
        <f t="shared" si="4"/>
        <v>1</v>
      </c>
      <c r="AK10" s="91">
        <f t="shared" si="4"/>
        <v>1</v>
      </c>
      <c r="AL10" s="91">
        <f t="shared" si="4"/>
        <v>3</v>
      </c>
      <c r="AM10" s="91">
        <f t="shared" si="4"/>
        <v>3</v>
      </c>
      <c r="AN10" s="91">
        <f t="shared" si="4"/>
        <v>3</v>
      </c>
      <c r="AO10" s="91">
        <f t="shared" si="4"/>
        <v>3</v>
      </c>
      <c r="AP10" s="91">
        <f t="shared" si="4"/>
        <v>2</v>
      </c>
      <c r="AQ10" s="91">
        <f t="shared" si="4"/>
        <v>3</v>
      </c>
      <c r="AR10" s="91">
        <f t="shared" si="4"/>
        <v>3</v>
      </c>
      <c r="AS10" s="91">
        <f t="shared" si="4"/>
        <v>3</v>
      </c>
      <c r="AT10" s="91">
        <f t="shared" si="4"/>
        <v>3</v>
      </c>
      <c r="AU10" s="91">
        <f t="shared" si="4"/>
        <v>3</v>
      </c>
      <c r="AV10" s="91">
        <f t="shared" si="4"/>
        <v>2</v>
      </c>
      <c r="AW10" s="91">
        <f t="shared" si="4"/>
        <v>2</v>
      </c>
      <c r="AX10" s="91">
        <f t="shared" ref="AX10:CC10" si="5">SUBTOTAL(9,AX14:AX592)</f>
        <v>2</v>
      </c>
      <c r="AY10" s="91">
        <f t="shared" si="5"/>
        <v>0</v>
      </c>
      <c r="AZ10" s="91">
        <f t="shared" si="5"/>
        <v>1</v>
      </c>
      <c r="BA10" s="91">
        <f t="shared" si="5"/>
        <v>1</v>
      </c>
      <c r="BB10" s="91">
        <f t="shared" si="5"/>
        <v>0</v>
      </c>
      <c r="BC10" s="91">
        <f t="shared" si="5"/>
        <v>1</v>
      </c>
      <c r="BD10" s="91">
        <f t="shared" si="5"/>
        <v>1</v>
      </c>
      <c r="BE10" s="91">
        <f t="shared" si="5"/>
        <v>1</v>
      </c>
      <c r="BF10" s="91">
        <f t="shared" si="5"/>
        <v>2</v>
      </c>
      <c r="BG10" s="91">
        <f t="shared" si="5"/>
        <v>2</v>
      </c>
      <c r="BH10" s="91">
        <f t="shared" si="5"/>
        <v>2</v>
      </c>
      <c r="BI10" s="91">
        <f t="shared" si="5"/>
        <v>2</v>
      </c>
      <c r="BJ10" s="91">
        <f t="shared" si="5"/>
        <v>2</v>
      </c>
      <c r="BK10" s="91">
        <f t="shared" si="5"/>
        <v>1.5</v>
      </c>
      <c r="BL10" s="91">
        <f t="shared" si="5"/>
        <v>2</v>
      </c>
      <c r="BM10" s="91">
        <f t="shared" si="5"/>
        <v>2</v>
      </c>
      <c r="BN10" s="91">
        <f t="shared" si="5"/>
        <v>2</v>
      </c>
      <c r="BO10" s="91">
        <f t="shared" si="5"/>
        <v>2</v>
      </c>
      <c r="BP10" s="91">
        <f t="shared" si="5"/>
        <v>2</v>
      </c>
      <c r="BQ10" s="91">
        <f t="shared" si="5"/>
        <v>2</v>
      </c>
      <c r="BR10" s="91">
        <f t="shared" si="5"/>
        <v>2</v>
      </c>
      <c r="BS10" s="91">
        <f t="shared" si="5"/>
        <v>2</v>
      </c>
      <c r="BT10" s="91">
        <f t="shared" si="5"/>
        <v>2</v>
      </c>
      <c r="BU10" s="91">
        <f t="shared" si="5"/>
        <v>3</v>
      </c>
      <c r="BV10" s="91">
        <f t="shared" si="5"/>
        <v>3</v>
      </c>
      <c r="BW10" s="91">
        <f t="shared" si="5"/>
        <v>3</v>
      </c>
      <c r="BX10" s="91">
        <f t="shared" si="5"/>
        <v>3</v>
      </c>
      <c r="BY10" s="91">
        <f t="shared" si="5"/>
        <v>3</v>
      </c>
      <c r="BZ10" s="91">
        <f t="shared" si="5"/>
        <v>3</v>
      </c>
      <c r="CA10" s="91">
        <f t="shared" si="5"/>
        <v>3</v>
      </c>
      <c r="CB10" s="91">
        <f t="shared" si="5"/>
        <v>3</v>
      </c>
      <c r="CC10" s="91">
        <f t="shared" si="5"/>
        <v>3</v>
      </c>
      <c r="CD10" s="91">
        <f t="shared" ref="CD10:DI10" si="6">SUBTOTAL(9,CD14:CD592)</f>
        <v>3</v>
      </c>
      <c r="CE10" s="91">
        <f t="shared" si="6"/>
        <v>3</v>
      </c>
      <c r="CF10" s="91">
        <f t="shared" si="6"/>
        <v>3</v>
      </c>
      <c r="CG10" s="91">
        <f t="shared" si="6"/>
        <v>3</v>
      </c>
      <c r="CH10" s="91">
        <f t="shared" si="6"/>
        <v>3</v>
      </c>
      <c r="CI10" s="91">
        <f t="shared" si="6"/>
        <v>3</v>
      </c>
      <c r="CJ10" s="91">
        <f t="shared" si="6"/>
        <v>3</v>
      </c>
      <c r="CK10" s="91">
        <f t="shared" si="6"/>
        <v>3</v>
      </c>
      <c r="CL10" s="91">
        <f t="shared" si="6"/>
        <v>3</v>
      </c>
      <c r="CM10" s="91">
        <f t="shared" si="6"/>
        <v>3</v>
      </c>
      <c r="CN10" s="91">
        <f t="shared" si="6"/>
        <v>3</v>
      </c>
      <c r="CO10" s="91">
        <f t="shared" si="6"/>
        <v>3</v>
      </c>
      <c r="CP10" s="91">
        <f t="shared" si="6"/>
        <v>3</v>
      </c>
      <c r="CQ10" s="91">
        <f t="shared" si="6"/>
        <v>3</v>
      </c>
      <c r="CR10" s="91">
        <f t="shared" si="6"/>
        <v>3</v>
      </c>
      <c r="CS10" s="91">
        <f t="shared" si="6"/>
        <v>3</v>
      </c>
      <c r="CT10" s="91">
        <f t="shared" si="6"/>
        <v>3</v>
      </c>
      <c r="CU10" s="91">
        <f t="shared" si="6"/>
        <v>3</v>
      </c>
      <c r="CV10" s="91">
        <f t="shared" si="6"/>
        <v>3</v>
      </c>
      <c r="CW10" s="91">
        <f t="shared" si="6"/>
        <v>3</v>
      </c>
      <c r="CX10" s="91">
        <f t="shared" si="6"/>
        <v>3</v>
      </c>
      <c r="CY10" s="91">
        <f t="shared" si="6"/>
        <v>3</v>
      </c>
      <c r="CZ10" s="91">
        <f t="shared" si="6"/>
        <v>3</v>
      </c>
      <c r="DA10" s="91">
        <f t="shared" si="6"/>
        <v>3</v>
      </c>
      <c r="DB10" s="91">
        <f t="shared" si="6"/>
        <v>3</v>
      </c>
      <c r="DC10" s="91">
        <f t="shared" si="6"/>
        <v>3</v>
      </c>
      <c r="DD10" s="91">
        <f t="shared" si="6"/>
        <v>3</v>
      </c>
      <c r="DE10" s="91">
        <f t="shared" si="6"/>
        <v>3</v>
      </c>
      <c r="DF10" s="91">
        <f t="shared" si="6"/>
        <v>3</v>
      </c>
      <c r="DG10" s="91">
        <f t="shared" si="6"/>
        <v>3</v>
      </c>
      <c r="DH10" s="91">
        <f t="shared" si="6"/>
        <v>3</v>
      </c>
      <c r="DI10" s="91">
        <f t="shared" si="6"/>
        <v>3</v>
      </c>
      <c r="DJ10" s="91">
        <f t="shared" ref="DJ10:ES10" si="7">SUBTOTAL(9,DJ14:DJ592)</f>
        <v>3</v>
      </c>
      <c r="DK10" s="91">
        <f t="shared" si="7"/>
        <v>3</v>
      </c>
      <c r="DL10" s="91">
        <f t="shared" si="7"/>
        <v>3</v>
      </c>
      <c r="DM10" s="91">
        <f t="shared" si="7"/>
        <v>3</v>
      </c>
      <c r="DN10" s="91">
        <f t="shared" si="7"/>
        <v>3</v>
      </c>
      <c r="DO10" s="91">
        <f t="shared" si="7"/>
        <v>3</v>
      </c>
      <c r="DP10" s="91">
        <f t="shared" si="7"/>
        <v>3</v>
      </c>
      <c r="DQ10" s="91">
        <f t="shared" si="7"/>
        <v>3</v>
      </c>
      <c r="DR10" s="91">
        <f t="shared" si="7"/>
        <v>3</v>
      </c>
      <c r="DS10" s="91">
        <f t="shared" si="7"/>
        <v>2</v>
      </c>
      <c r="DT10" s="91">
        <f t="shared" si="7"/>
        <v>3</v>
      </c>
      <c r="DU10" s="91">
        <f t="shared" si="7"/>
        <v>3</v>
      </c>
      <c r="DV10" s="91">
        <f t="shared" si="7"/>
        <v>3</v>
      </c>
      <c r="DW10" s="91">
        <f t="shared" si="7"/>
        <v>3</v>
      </c>
      <c r="DX10" s="91">
        <f t="shared" si="7"/>
        <v>3</v>
      </c>
      <c r="DY10" s="91">
        <f t="shared" si="7"/>
        <v>3</v>
      </c>
      <c r="DZ10" s="91">
        <f t="shared" si="7"/>
        <v>3</v>
      </c>
      <c r="EA10" s="91">
        <f t="shared" si="7"/>
        <v>3</v>
      </c>
      <c r="EB10" s="91">
        <f t="shared" si="7"/>
        <v>3</v>
      </c>
      <c r="EC10" s="91">
        <f t="shared" si="7"/>
        <v>3</v>
      </c>
      <c r="ED10" s="91">
        <f t="shared" si="7"/>
        <v>3</v>
      </c>
      <c r="EE10" s="91">
        <f t="shared" si="7"/>
        <v>3</v>
      </c>
      <c r="EF10" s="91">
        <f t="shared" si="7"/>
        <v>3</v>
      </c>
      <c r="EG10" s="91">
        <f t="shared" si="7"/>
        <v>3</v>
      </c>
      <c r="EH10" s="91">
        <f t="shared" si="7"/>
        <v>3</v>
      </c>
      <c r="EI10" s="91">
        <f t="shared" si="7"/>
        <v>3</v>
      </c>
      <c r="EJ10" s="91">
        <f t="shared" si="7"/>
        <v>3</v>
      </c>
      <c r="EK10" s="91">
        <f t="shared" si="7"/>
        <v>3</v>
      </c>
      <c r="EL10" s="91">
        <f t="shared" si="7"/>
        <v>3</v>
      </c>
      <c r="EM10" s="91">
        <f t="shared" si="7"/>
        <v>3</v>
      </c>
      <c r="EN10" s="91">
        <f t="shared" si="7"/>
        <v>0</v>
      </c>
      <c r="EO10" s="91">
        <f t="shared" si="7"/>
        <v>0</v>
      </c>
      <c r="EP10" s="91">
        <f t="shared" si="7"/>
        <v>0</v>
      </c>
      <c r="EQ10" s="91">
        <f t="shared" si="7"/>
        <v>0</v>
      </c>
      <c r="ER10" s="91">
        <f t="shared" si="7"/>
        <v>0</v>
      </c>
      <c r="ES10" s="91">
        <f t="shared" si="7"/>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8">R13</f>
        <v>45474</v>
      </c>
      <c r="S12" s="77">
        <f t="shared" si="8"/>
        <v>45475</v>
      </c>
      <c r="T12" s="77">
        <f t="shared" si="8"/>
        <v>45476</v>
      </c>
      <c r="U12" s="77">
        <f t="shared" si="8"/>
        <v>45477</v>
      </c>
      <c r="V12" s="77">
        <f t="shared" si="8"/>
        <v>45478</v>
      </c>
      <c r="W12" s="77">
        <f t="shared" si="8"/>
        <v>45481</v>
      </c>
      <c r="X12" s="77">
        <f t="shared" si="8"/>
        <v>45482</v>
      </c>
      <c r="Y12" s="77">
        <f t="shared" si="8"/>
        <v>45483</v>
      </c>
      <c r="Z12" s="77">
        <f t="shared" si="8"/>
        <v>45484</v>
      </c>
      <c r="AA12" s="77">
        <f t="shared" si="8"/>
        <v>45485</v>
      </c>
      <c r="AB12" s="77">
        <f t="shared" si="8"/>
        <v>45488</v>
      </c>
      <c r="AC12" s="77">
        <f t="shared" si="8"/>
        <v>45489</v>
      </c>
      <c r="AD12" s="77">
        <f t="shared" si="8"/>
        <v>45490</v>
      </c>
      <c r="AE12" s="77">
        <f t="shared" si="8"/>
        <v>45491</v>
      </c>
      <c r="AF12" s="77">
        <f t="shared" si="8"/>
        <v>45492</v>
      </c>
      <c r="AG12" s="77">
        <f t="shared" si="8"/>
        <v>45495</v>
      </c>
      <c r="AH12" s="77">
        <f t="shared" si="8"/>
        <v>45496</v>
      </c>
      <c r="AI12" s="77">
        <f t="shared" si="8"/>
        <v>45497</v>
      </c>
      <c r="AJ12" s="77">
        <f t="shared" si="8"/>
        <v>45498</v>
      </c>
      <c r="AK12" s="77">
        <f t="shared" si="8"/>
        <v>45499</v>
      </c>
      <c r="AL12" s="77">
        <f t="shared" si="8"/>
        <v>45502</v>
      </c>
      <c r="AM12" s="77">
        <f t="shared" si="8"/>
        <v>45503</v>
      </c>
      <c r="AN12" s="77">
        <f t="shared" si="8"/>
        <v>45504</v>
      </c>
      <c r="AO12" s="77">
        <f t="shared" si="8"/>
        <v>45505</v>
      </c>
      <c r="AP12" s="77">
        <f t="shared" si="8"/>
        <v>45506</v>
      </c>
      <c r="AQ12" s="77">
        <f t="shared" si="8"/>
        <v>45509</v>
      </c>
      <c r="AR12" s="77">
        <f t="shared" si="8"/>
        <v>45510</v>
      </c>
      <c r="AS12" s="77">
        <f t="shared" si="8"/>
        <v>45511</v>
      </c>
      <c r="AT12" s="77">
        <f t="shared" si="8"/>
        <v>45512</v>
      </c>
      <c r="AU12" s="77">
        <f t="shared" si="8"/>
        <v>45513</v>
      </c>
      <c r="AV12" s="77">
        <f t="shared" si="8"/>
        <v>45516</v>
      </c>
      <c r="AW12" s="77">
        <f t="shared" si="8"/>
        <v>45517</v>
      </c>
      <c r="AX12" s="77">
        <f t="shared" si="8"/>
        <v>45518</v>
      </c>
      <c r="AY12" s="77">
        <f t="shared" si="8"/>
        <v>45519</v>
      </c>
      <c r="AZ12" s="77">
        <f t="shared" si="8"/>
        <v>45520</v>
      </c>
      <c r="BA12" s="77">
        <f t="shared" si="8"/>
        <v>45523</v>
      </c>
      <c r="BB12" s="77">
        <f t="shared" si="8"/>
        <v>45524</v>
      </c>
      <c r="BC12" s="77">
        <f t="shared" si="8"/>
        <v>45525</v>
      </c>
      <c r="BD12" s="77">
        <f t="shared" si="8"/>
        <v>45526</v>
      </c>
      <c r="BE12" s="77">
        <f t="shared" si="8"/>
        <v>45527</v>
      </c>
      <c r="BF12" s="77">
        <f t="shared" si="8"/>
        <v>45530</v>
      </c>
      <c r="BG12" s="77">
        <f t="shared" si="8"/>
        <v>45531</v>
      </c>
      <c r="BH12" s="77">
        <f t="shared" si="8"/>
        <v>45532</v>
      </c>
      <c r="BI12" s="77">
        <f t="shared" si="8"/>
        <v>45533</v>
      </c>
      <c r="BJ12" s="77">
        <f t="shared" si="8"/>
        <v>45534</v>
      </c>
      <c r="BK12" s="77">
        <f t="shared" si="8"/>
        <v>45537</v>
      </c>
      <c r="BL12" s="77">
        <f t="shared" si="8"/>
        <v>45538</v>
      </c>
      <c r="BM12" s="77">
        <f t="shared" si="8"/>
        <v>45539</v>
      </c>
      <c r="BN12" s="77">
        <f t="shared" si="8"/>
        <v>45540</v>
      </c>
      <c r="BO12" s="77">
        <f t="shared" si="8"/>
        <v>45541</v>
      </c>
      <c r="BP12" s="77">
        <f t="shared" si="8"/>
        <v>45544</v>
      </c>
      <c r="BQ12" s="77">
        <f t="shared" si="8"/>
        <v>45545</v>
      </c>
      <c r="BR12" s="77">
        <f t="shared" si="8"/>
        <v>45546</v>
      </c>
      <c r="BS12" s="77">
        <f t="shared" si="8"/>
        <v>45547</v>
      </c>
      <c r="BT12" s="77">
        <f t="shared" si="8"/>
        <v>45548</v>
      </c>
      <c r="BU12" s="77">
        <f t="shared" si="8"/>
        <v>45551</v>
      </c>
      <c r="BV12" s="77">
        <f t="shared" si="8"/>
        <v>45552</v>
      </c>
      <c r="BW12" s="77">
        <f t="shared" si="8"/>
        <v>45553</v>
      </c>
      <c r="BX12" s="77">
        <f t="shared" si="8"/>
        <v>45554</v>
      </c>
      <c r="BY12" s="77">
        <f t="shared" si="8"/>
        <v>45555</v>
      </c>
      <c r="BZ12" s="77">
        <f t="shared" si="8"/>
        <v>45558</v>
      </c>
      <c r="CA12" s="77">
        <f t="shared" si="8"/>
        <v>45559</v>
      </c>
      <c r="CB12" s="77">
        <f t="shared" si="8"/>
        <v>45560</v>
      </c>
      <c r="CC12" s="77">
        <f t="shared" si="8"/>
        <v>45561</v>
      </c>
      <c r="CD12" s="77">
        <f t="shared" ref="CD12:EO12" si="9">CD13</f>
        <v>45562</v>
      </c>
      <c r="CE12" s="77">
        <f t="shared" si="9"/>
        <v>45565</v>
      </c>
      <c r="CF12" s="77">
        <f t="shared" si="9"/>
        <v>45566</v>
      </c>
      <c r="CG12" s="77">
        <f t="shared" si="9"/>
        <v>45567</v>
      </c>
      <c r="CH12" s="77">
        <f t="shared" si="9"/>
        <v>45568</v>
      </c>
      <c r="CI12" s="77">
        <f t="shared" si="9"/>
        <v>45569</v>
      </c>
      <c r="CJ12" s="77">
        <f t="shared" si="9"/>
        <v>45572</v>
      </c>
      <c r="CK12" s="77">
        <f t="shared" si="9"/>
        <v>45573</v>
      </c>
      <c r="CL12" s="77">
        <f t="shared" si="9"/>
        <v>45574</v>
      </c>
      <c r="CM12" s="77">
        <f t="shared" si="9"/>
        <v>45575</v>
      </c>
      <c r="CN12" s="77">
        <f t="shared" si="9"/>
        <v>45576</v>
      </c>
      <c r="CO12" s="77">
        <f t="shared" si="9"/>
        <v>45579</v>
      </c>
      <c r="CP12" s="77">
        <f t="shared" si="9"/>
        <v>45580</v>
      </c>
      <c r="CQ12" s="77">
        <f t="shared" si="9"/>
        <v>45581</v>
      </c>
      <c r="CR12" s="77">
        <f t="shared" si="9"/>
        <v>45582</v>
      </c>
      <c r="CS12" s="77">
        <f t="shared" si="9"/>
        <v>45583</v>
      </c>
      <c r="CT12" s="77">
        <f t="shared" si="9"/>
        <v>45586</v>
      </c>
      <c r="CU12" s="77">
        <f t="shared" si="9"/>
        <v>45587</v>
      </c>
      <c r="CV12" s="77">
        <f t="shared" si="9"/>
        <v>45588</v>
      </c>
      <c r="CW12" s="77">
        <f t="shared" si="9"/>
        <v>45589</v>
      </c>
      <c r="CX12" s="77">
        <f t="shared" si="9"/>
        <v>45590</v>
      </c>
      <c r="CY12" s="77">
        <f t="shared" si="9"/>
        <v>45593</v>
      </c>
      <c r="CZ12" s="77">
        <f t="shared" si="9"/>
        <v>45594</v>
      </c>
      <c r="DA12" s="77">
        <f t="shared" si="9"/>
        <v>45595</v>
      </c>
      <c r="DB12" s="77">
        <f t="shared" si="9"/>
        <v>45596</v>
      </c>
      <c r="DC12" s="77">
        <f t="shared" si="9"/>
        <v>45597</v>
      </c>
      <c r="DD12" s="77">
        <f t="shared" si="9"/>
        <v>45600</v>
      </c>
      <c r="DE12" s="77">
        <f t="shared" si="9"/>
        <v>45601</v>
      </c>
      <c r="DF12" s="77">
        <f t="shared" si="9"/>
        <v>45602</v>
      </c>
      <c r="DG12" s="77">
        <f t="shared" si="9"/>
        <v>45603</v>
      </c>
      <c r="DH12" s="77">
        <f t="shared" si="9"/>
        <v>45604</v>
      </c>
      <c r="DI12" s="77">
        <f t="shared" si="9"/>
        <v>45607</v>
      </c>
      <c r="DJ12" s="77">
        <f t="shared" si="9"/>
        <v>45608</v>
      </c>
      <c r="DK12" s="77">
        <f t="shared" si="9"/>
        <v>45609</v>
      </c>
      <c r="DL12" s="77">
        <f t="shared" si="9"/>
        <v>45610</v>
      </c>
      <c r="DM12" s="77">
        <f t="shared" si="9"/>
        <v>45611</v>
      </c>
      <c r="DN12" s="77">
        <f t="shared" si="9"/>
        <v>45614</v>
      </c>
      <c r="DO12" s="77">
        <f t="shared" si="9"/>
        <v>45615</v>
      </c>
      <c r="DP12" s="77">
        <f t="shared" si="9"/>
        <v>45616</v>
      </c>
      <c r="DQ12" s="77">
        <f t="shared" si="9"/>
        <v>45617</v>
      </c>
      <c r="DR12" s="77">
        <f t="shared" si="9"/>
        <v>45618</v>
      </c>
      <c r="DS12" s="77">
        <f t="shared" si="9"/>
        <v>45621</v>
      </c>
      <c r="DT12" s="77">
        <f t="shared" si="9"/>
        <v>45622</v>
      </c>
      <c r="DU12" s="77">
        <f t="shared" si="9"/>
        <v>45623</v>
      </c>
      <c r="DV12" s="77">
        <f t="shared" si="9"/>
        <v>45624</v>
      </c>
      <c r="DW12" s="77">
        <f t="shared" si="9"/>
        <v>45625</v>
      </c>
      <c r="DX12" s="77">
        <f t="shared" si="9"/>
        <v>45628</v>
      </c>
      <c r="DY12" s="77">
        <f t="shared" si="9"/>
        <v>45629</v>
      </c>
      <c r="DZ12" s="77">
        <f t="shared" si="9"/>
        <v>45630</v>
      </c>
      <c r="EA12" s="77">
        <f t="shared" si="9"/>
        <v>45631</v>
      </c>
      <c r="EB12" s="77">
        <f t="shared" si="9"/>
        <v>45632</v>
      </c>
      <c r="EC12" s="77">
        <f t="shared" si="9"/>
        <v>45635</v>
      </c>
      <c r="ED12" s="77">
        <f t="shared" si="9"/>
        <v>45636</v>
      </c>
      <c r="EE12" s="77">
        <f t="shared" si="9"/>
        <v>45637</v>
      </c>
      <c r="EF12" s="77">
        <f t="shared" si="9"/>
        <v>45638</v>
      </c>
      <c r="EG12" s="77">
        <f t="shared" si="9"/>
        <v>45639</v>
      </c>
      <c r="EH12" s="77">
        <f t="shared" si="9"/>
        <v>45642</v>
      </c>
      <c r="EI12" s="77">
        <f t="shared" si="9"/>
        <v>45643</v>
      </c>
      <c r="EJ12" s="77">
        <f t="shared" si="9"/>
        <v>45644</v>
      </c>
      <c r="EK12" s="77">
        <f t="shared" si="9"/>
        <v>45645</v>
      </c>
      <c r="EL12" s="77">
        <f t="shared" si="9"/>
        <v>45646</v>
      </c>
      <c r="EM12" s="77">
        <f t="shared" si="9"/>
        <v>45649</v>
      </c>
      <c r="EN12" s="77">
        <f t="shared" si="9"/>
        <v>45650</v>
      </c>
      <c r="EO12" s="77">
        <f t="shared" si="9"/>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0">WORKDAY(R13,1)</f>
        <v>45475</v>
      </c>
      <c r="T13" s="78">
        <f t="shared" si="10"/>
        <v>45476</v>
      </c>
      <c r="U13" s="78">
        <f t="shared" si="10"/>
        <v>45477</v>
      </c>
      <c r="V13" s="78">
        <f t="shared" si="10"/>
        <v>45478</v>
      </c>
      <c r="W13" s="78">
        <f t="shared" si="10"/>
        <v>45481</v>
      </c>
      <c r="X13" s="78">
        <f t="shared" si="10"/>
        <v>45482</v>
      </c>
      <c r="Y13" s="78">
        <f t="shared" si="10"/>
        <v>45483</v>
      </c>
      <c r="Z13" s="78">
        <f t="shared" si="10"/>
        <v>45484</v>
      </c>
      <c r="AA13" s="78">
        <f t="shared" si="10"/>
        <v>45485</v>
      </c>
      <c r="AB13" s="78">
        <f t="shared" si="10"/>
        <v>45488</v>
      </c>
      <c r="AC13" s="78">
        <f t="shared" si="10"/>
        <v>45489</v>
      </c>
      <c r="AD13" s="78">
        <f t="shared" si="10"/>
        <v>45490</v>
      </c>
      <c r="AE13" s="78">
        <f t="shared" si="10"/>
        <v>45491</v>
      </c>
      <c r="AF13" s="78">
        <f t="shared" si="10"/>
        <v>45492</v>
      </c>
      <c r="AG13" s="78">
        <f t="shared" si="10"/>
        <v>45495</v>
      </c>
      <c r="AH13" s="78">
        <f t="shared" si="10"/>
        <v>45496</v>
      </c>
      <c r="AI13" s="78">
        <f t="shared" si="10"/>
        <v>45497</v>
      </c>
      <c r="AJ13" s="78">
        <f t="shared" si="10"/>
        <v>45498</v>
      </c>
      <c r="AK13" s="78">
        <f t="shared" si="10"/>
        <v>45499</v>
      </c>
      <c r="AL13" s="78">
        <f t="shared" si="10"/>
        <v>45502</v>
      </c>
      <c r="AM13" s="78">
        <f t="shared" si="10"/>
        <v>45503</v>
      </c>
      <c r="AN13" s="78">
        <f t="shared" si="10"/>
        <v>45504</v>
      </c>
      <c r="AO13" s="78">
        <f t="shared" si="10"/>
        <v>45505</v>
      </c>
      <c r="AP13" s="78">
        <f t="shared" si="10"/>
        <v>45506</v>
      </c>
      <c r="AQ13" s="78">
        <f t="shared" si="10"/>
        <v>45509</v>
      </c>
      <c r="AR13" s="78">
        <f t="shared" si="10"/>
        <v>45510</v>
      </c>
      <c r="AS13" s="78">
        <f t="shared" si="10"/>
        <v>45511</v>
      </c>
      <c r="AT13" s="78">
        <f t="shared" si="10"/>
        <v>45512</v>
      </c>
      <c r="AU13" s="78">
        <f t="shared" si="10"/>
        <v>45513</v>
      </c>
      <c r="AV13" s="78">
        <f t="shared" si="10"/>
        <v>45516</v>
      </c>
      <c r="AW13" s="78">
        <f t="shared" si="10"/>
        <v>45517</v>
      </c>
      <c r="AX13" s="78">
        <f t="shared" si="10"/>
        <v>45518</v>
      </c>
      <c r="AY13" s="78">
        <f t="shared" si="10"/>
        <v>45519</v>
      </c>
      <c r="AZ13" s="78">
        <f t="shared" si="10"/>
        <v>45520</v>
      </c>
      <c r="BA13" s="78">
        <f t="shared" si="10"/>
        <v>45523</v>
      </c>
      <c r="BB13" s="78">
        <f t="shared" si="10"/>
        <v>45524</v>
      </c>
      <c r="BC13" s="78">
        <f t="shared" si="10"/>
        <v>45525</v>
      </c>
      <c r="BD13" s="78">
        <f t="shared" si="10"/>
        <v>45526</v>
      </c>
      <c r="BE13" s="78">
        <f t="shared" si="10"/>
        <v>45527</v>
      </c>
      <c r="BF13" s="78">
        <f t="shared" si="10"/>
        <v>45530</v>
      </c>
      <c r="BG13" s="78">
        <f t="shared" si="10"/>
        <v>45531</v>
      </c>
      <c r="BH13" s="78">
        <f t="shared" si="10"/>
        <v>45532</v>
      </c>
      <c r="BI13" s="78">
        <f t="shared" si="10"/>
        <v>45533</v>
      </c>
      <c r="BJ13" s="78">
        <f t="shared" si="10"/>
        <v>45534</v>
      </c>
      <c r="BK13" s="78">
        <f t="shared" si="10"/>
        <v>45537</v>
      </c>
      <c r="BL13" s="78">
        <f t="shared" si="10"/>
        <v>45538</v>
      </c>
      <c r="BM13" s="78">
        <f t="shared" si="10"/>
        <v>45539</v>
      </c>
      <c r="BN13" s="78">
        <f t="shared" si="10"/>
        <v>45540</v>
      </c>
      <c r="BO13" s="78">
        <f t="shared" si="10"/>
        <v>45541</v>
      </c>
      <c r="BP13" s="78">
        <f t="shared" si="10"/>
        <v>45544</v>
      </c>
      <c r="BQ13" s="78">
        <f t="shared" si="10"/>
        <v>45545</v>
      </c>
      <c r="BR13" s="78">
        <f t="shared" si="10"/>
        <v>45546</v>
      </c>
      <c r="BS13" s="78">
        <f t="shared" si="10"/>
        <v>45547</v>
      </c>
      <c r="BT13" s="78">
        <f t="shared" si="10"/>
        <v>45548</v>
      </c>
      <c r="BU13" s="78">
        <f t="shared" si="10"/>
        <v>45551</v>
      </c>
      <c r="BV13" s="78">
        <f t="shared" si="10"/>
        <v>45552</v>
      </c>
      <c r="BW13" s="78">
        <f t="shared" si="10"/>
        <v>45553</v>
      </c>
      <c r="BX13" s="78">
        <f t="shared" si="10"/>
        <v>45554</v>
      </c>
      <c r="BY13" s="78">
        <f t="shared" si="10"/>
        <v>45555</v>
      </c>
      <c r="BZ13" s="78">
        <f t="shared" si="10"/>
        <v>45558</v>
      </c>
      <c r="CA13" s="78">
        <f t="shared" si="10"/>
        <v>45559</v>
      </c>
      <c r="CB13" s="78">
        <f t="shared" si="10"/>
        <v>45560</v>
      </c>
      <c r="CC13" s="78">
        <f t="shared" si="10"/>
        <v>45561</v>
      </c>
      <c r="CD13" s="78">
        <f t="shared" si="10"/>
        <v>45562</v>
      </c>
      <c r="CE13" s="78">
        <f t="shared" ref="CE13:EP13" si="11">WORKDAY(CD13,1)</f>
        <v>45565</v>
      </c>
      <c r="CF13" s="78">
        <f t="shared" si="11"/>
        <v>45566</v>
      </c>
      <c r="CG13" s="78">
        <f t="shared" si="11"/>
        <v>45567</v>
      </c>
      <c r="CH13" s="78">
        <f t="shared" si="11"/>
        <v>45568</v>
      </c>
      <c r="CI13" s="78">
        <f t="shared" si="11"/>
        <v>45569</v>
      </c>
      <c r="CJ13" s="78">
        <f t="shared" si="11"/>
        <v>45572</v>
      </c>
      <c r="CK13" s="78">
        <f t="shared" si="11"/>
        <v>45573</v>
      </c>
      <c r="CL13" s="78">
        <f t="shared" si="11"/>
        <v>45574</v>
      </c>
      <c r="CM13" s="78">
        <f t="shared" si="11"/>
        <v>45575</v>
      </c>
      <c r="CN13" s="78">
        <f t="shared" si="11"/>
        <v>45576</v>
      </c>
      <c r="CO13" s="78">
        <f t="shared" si="11"/>
        <v>45579</v>
      </c>
      <c r="CP13" s="78">
        <f t="shared" si="11"/>
        <v>45580</v>
      </c>
      <c r="CQ13" s="78">
        <f t="shared" si="11"/>
        <v>45581</v>
      </c>
      <c r="CR13" s="78">
        <f t="shared" si="11"/>
        <v>45582</v>
      </c>
      <c r="CS13" s="78">
        <f t="shared" si="11"/>
        <v>45583</v>
      </c>
      <c r="CT13" s="78">
        <f t="shared" si="11"/>
        <v>45586</v>
      </c>
      <c r="CU13" s="78">
        <f t="shared" si="11"/>
        <v>45587</v>
      </c>
      <c r="CV13" s="78">
        <f t="shared" si="11"/>
        <v>45588</v>
      </c>
      <c r="CW13" s="78">
        <f t="shared" si="11"/>
        <v>45589</v>
      </c>
      <c r="CX13" s="78">
        <f t="shared" si="11"/>
        <v>45590</v>
      </c>
      <c r="CY13" s="78">
        <f t="shared" si="11"/>
        <v>45593</v>
      </c>
      <c r="CZ13" s="78">
        <f t="shared" si="11"/>
        <v>45594</v>
      </c>
      <c r="DA13" s="78">
        <f t="shared" si="11"/>
        <v>45595</v>
      </c>
      <c r="DB13" s="78">
        <f t="shared" si="11"/>
        <v>45596</v>
      </c>
      <c r="DC13" s="78">
        <f t="shared" si="11"/>
        <v>45597</v>
      </c>
      <c r="DD13" s="78">
        <f t="shared" si="11"/>
        <v>45600</v>
      </c>
      <c r="DE13" s="78">
        <f t="shared" si="11"/>
        <v>45601</v>
      </c>
      <c r="DF13" s="78">
        <f t="shared" si="11"/>
        <v>45602</v>
      </c>
      <c r="DG13" s="78">
        <f t="shared" si="11"/>
        <v>45603</v>
      </c>
      <c r="DH13" s="78">
        <f t="shared" si="11"/>
        <v>45604</v>
      </c>
      <c r="DI13" s="78">
        <f t="shared" si="11"/>
        <v>45607</v>
      </c>
      <c r="DJ13" s="78">
        <f t="shared" si="11"/>
        <v>45608</v>
      </c>
      <c r="DK13" s="78">
        <f t="shared" si="11"/>
        <v>45609</v>
      </c>
      <c r="DL13" s="78">
        <f t="shared" si="11"/>
        <v>45610</v>
      </c>
      <c r="DM13" s="78">
        <f t="shared" si="11"/>
        <v>45611</v>
      </c>
      <c r="DN13" s="78">
        <f t="shared" si="11"/>
        <v>45614</v>
      </c>
      <c r="DO13" s="78">
        <f t="shared" si="11"/>
        <v>45615</v>
      </c>
      <c r="DP13" s="78">
        <f t="shared" si="11"/>
        <v>45616</v>
      </c>
      <c r="DQ13" s="78">
        <f t="shared" si="11"/>
        <v>45617</v>
      </c>
      <c r="DR13" s="78">
        <f t="shared" si="11"/>
        <v>45618</v>
      </c>
      <c r="DS13" s="78">
        <f t="shared" si="11"/>
        <v>45621</v>
      </c>
      <c r="DT13" s="78">
        <f t="shared" si="11"/>
        <v>45622</v>
      </c>
      <c r="DU13" s="78">
        <f t="shared" si="11"/>
        <v>45623</v>
      </c>
      <c r="DV13" s="78">
        <f t="shared" si="11"/>
        <v>45624</v>
      </c>
      <c r="DW13" s="78">
        <f t="shared" si="11"/>
        <v>45625</v>
      </c>
      <c r="DX13" s="78">
        <f t="shared" si="11"/>
        <v>45628</v>
      </c>
      <c r="DY13" s="78">
        <f t="shared" si="11"/>
        <v>45629</v>
      </c>
      <c r="DZ13" s="78">
        <f t="shared" si="11"/>
        <v>45630</v>
      </c>
      <c r="EA13" s="78">
        <f t="shared" si="11"/>
        <v>45631</v>
      </c>
      <c r="EB13" s="78">
        <f t="shared" si="11"/>
        <v>45632</v>
      </c>
      <c r="EC13" s="78">
        <f t="shared" si="11"/>
        <v>45635</v>
      </c>
      <c r="ED13" s="78">
        <f t="shared" si="11"/>
        <v>45636</v>
      </c>
      <c r="EE13" s="78">
        <f t="shared" si="11"/>
        <v>45637</v>
      </c>
      <c r="EF13" s="78">
        <f t="shared" si="11"/>
        <v>45638</v>
      </c>
      <c r="EG13" s="78">
        <f t="shared" si="11"/>
        <v>45639</v>
      </c>
      <c r="EH13" s="78">
        <f t="shared" si="11"/>
        <v>45642</v>
      </c>
      <c r="EI13" s="78">
        <f t="shared" si="11"/>
        <v>45643</v>
      </c>
      <c r="EJ13" s="78">
        <f t="shared" si="11"/>
        <v>45644</v>
      </c>
      <c r="EK13" s="78">
        <f t="shared" si="11"/>
        <v>45645</v>
      </c>
      <c r="EL13" s="78">
        <f t="shared" si="11"/>
        <v>45646</v>
      </c>
      <c r="EM13" s="78">
        <f t="shared" si="11"/>
        <v>45649</v>
      </c>
      <c r="EN13" s="78">
        <f t="shared" si="11"/>
        <v>45650</v>
      </c>
      <c r="EO13" s="78">
        <f t="shared" si="11"/>
        <v>45651</v>
      </c>
      <c r="EP13" s="78">
        <f t="shared" si="11"/>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N16-M16</f>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N17-M17</f>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N20-M20</f>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N21-M21</f>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N22-M22</f>
        <v>0.16999999999999993</v>
      </c>
      <c r="P22" s="193" t="s">
        <v>1935</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I25+I40+I204+I371+I456</f>
        <v>2209.0150000000053</v>
      </c>
      <c r="J24" s="185">
        <f>J25+J40+J204+J371+J456</f>
        <v>279</v>
      </c>
      <c r="K24" s="185">
        <f>K25+K40+K204+K371+K456</f>
        <v>1998.4506250000031</v>
      </c>
      <c r="L24" s="185">
        <f>L25+L40+L204+L371+L456</f>
        <v>252</v>
      </c>
      <c r="M24" s="180">
        <f>((M25*J25)+(M40*J40)+(M204*J204)+(M371*J371)+(M456*J456))/J24</f>
        <v>0.57885304659498205</v>
      </c>
      <c r="N24" s="180">
        <f>((N25*L25)+(N40*L40)+(N204*L204)+(N371*L371)+(N456*L456))/L24</f>
        <v>0.86300636317328872</v>
      </c>
      <c r="O24" s="180">
        <f t="shared" ref="O24:O87" si="12">N24-M24</f>
        <v>0.28415331657830667</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4.5599999999999987</v>
      </c>
      <c r="L25" s="188">
        <f>ROUNDUP(K25/8,0)</f>
        <v>1</v>
      </c>
      <c r="M25" s="187">
        <f>SUMIFS(R25:ES25,$R$9:$ES$9,"S")/J25</f>
        <v>1</v>
      </c>
      <c r="N25" s="187">
        <f>IFERROR(L25/J25,0)</f>
        <v>0.33333333333333331</v>
      </c>
      <c r="O25" s="187">
        <f t="shared" si="12"/>
        <v>-0.66666666666666674</v>
      </c>
      <c r="P25" s="195" t="s">
        <v>35</v>
      </c>
      <c r="Q25" s="91">
        <f t="shared" ref="Q25:Q88" si="13">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4. Validação EF</v>
      </c>
      <c r="H26" s="65">
        <f>VLOOKUP(A26,'Aux - pivots1'!$A:$B,2,0)</f>
        <v>5</v>
      </c>
      <c r="I26" s="189">
        <f>SUMIFS(Table1[Estimação (horas)],Table1[Tabela],Plano_V3!E26,Table1[Campo],Plano_V3!F26)</f>
        <v>8</v>
      </c>
      <c r="J26" s="189">
        <f t="shared" ref="J26:L38" si="14">I26/8</f>
        <v>1</v>
      </c>
      <c r="K26" s="189">
        <f>SUMIFS(Table1[Horas efetivas],Table1[Tabela],Plano_V3!E26,Table1[Campo],Plano_V3!F26)</f>
        <v>2</v>
      </c>
      <c r="L26" s="189">
        <f t="shared" si="14"/>
        <v>0.25</v>
      </c>
      <c r="M26" s="183"/>
      <c r="N26" s="183">
        <f>L26/J26</f>
        <v>0.25</v>
      </c>
      <c r="O26" s="183">
        <f t="shared" si="12"/>
        <v>0.25</v>
      </c>
      <c r="P26" s="90" t="s">
        <v>39</v>
      </c>
      <c r="Q26" s="91">
        <f t="shared" si="13"/>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5">E27&amp;F27</f>
        <v>ENERGY_CERTIFICATE_EST_INPUTPROPERTY_BANK_ID</v>
      </c>
      <c r="B27" s="68" t="s">
        <v>26</v>
      </c>
      <c r="C27" s="69" t="s">
        <v>34</v>
      </c>
      <c r="D27" s="65" t="s">
        <v>40</v>
      </c>
      <c r="E27" s="67" t="s">
        <v>37</v>
      </c>
      <c r="F27" s="67" t="s">
        <v>41</v>
      </c>
      <c r="G27" s="65" t="str">
        <f>INDEX(Auxiliar!$B$16:$B$24,MATCH(Plano_V3!H27,Auxiliar!$C$16:$C$24,0),1)</f>
        <v>4. Validação EF</v>
      </c>
      <c r="H27" s="65">
        <f>VLOOKUP(A27,'Aux - pivots1'!$A:$B,2,0)</f>
        <v>5</v>
      </c>
      <c r="I27" s="189">
        <f>SUMIFS(Table1[Estimação (horas)],Table1[Tabela],Plano_V3!E27,Table1[Campo],Plano_V3!F27)</f>
        <v>0.6</v>
      </c>
      <c r="J27" s="189">
        <f t="shared" si="14"/>
        <v>7.4999999999999997E-2</v>
      </c>
      <c r="K27" s="189">
        <f>SUMIFS(Table1[Horas efetivas],Table1[Tabela],Plano_V3!E27,Table1[Campo],Plano_V3!F27)</f>
        <v>0.15</v>
      </c>
      <c r="L27" s="189">
        <f t="shared" si="14"/>
        <v>1.8749999999999999E-2</v>
      </c>
      <c r="M27" s="183"/>
      <c r="N27" s="183">
        <f t="shared" ref="N27:N39" si="16">L27/J27</f>
        <v>0.25</v>
      </c>
      <c r="O27" s="183">
        <f t="shared" si="12"/>
        <v>0.25</v>
      </c>
      <c r="P27" s="90" t="s">
        <v>39</v>
      </c>
      <c r="Q27" s="91">
        <f t="shared" si="13"/>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4. Validação EF</v>
      </c>
      <c r="H28" s="65">
        <f>VLOOKUP(A28,'Aux - pivots1'!$A:$B,2,0)</f>
        <v>5</v>
      </c>
      <c r="I28" s="189">
        <f>SUMIFS(Table1[Estimação (horas)],Table1[Tabela],Plano_V3!E28,Table1[Campo],Plano_V3!F28)</f>
        <v>0.6</v>
      </c>
      <c r="J28" s="189">
        <f t="shared" si="14"/>
        <v>7.4999999999999997E-2</v>
      </c>
      <c r="K28" s="189">
        <f>SUMIFS(Table1[Horas efetivas],Table1[Tabela],Plano_V3!E28,Table1[Campo],Plano_V3!F28)</f>
        <v>0.15</v>
      </c>
      <c r="L28" s="189">
        <f t="shared" si="14"/>
        <v>1.8749999999999999E-2</v>
      </c>
      <c r="M28" s="183"/>
      <c r="N28" s="183">
        <f t="shared" si="16"/>
        <v>0.25</v>
      </c>
      <c r="O28" s="183">
        <f t="shared" si="12"/>
        <v>0.25</v>
      </c>
      <c r="P28" s="90" t="s">
        <v>39</v>
      </c>
      <c r="Q28" s="91">
        <f t="shared" si="13"/>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5"/>
        <v>ENERGY_CERTIFICATE_EST_INPUTPROPERTY_BRANCH_CODE</v>
      </c>
      <c r="B29" s="68" t="s">
        <v>26</v>
      </c>
      <c r="C29" s="69" t="s">
        <v>34</v>
      </c>
      <c r="D29" s="65" t="s">
        <v>40</v>
      </c>
      <c r="E29" s="67" t="s">
        <v>37</v>
      </c>
      <c r="F29" s="67" t="s">
        <v>43</v>
      </c>
      <c r="G29" s="65" t="str">
        <f>INDEX(Auxiliar!$B$16:$B$24,MATCH(Plano_V3!H29,Auxiliar!$C$16:$C$24,0),1)</f>
        <v>4. Validação EF</v>
      </c>
      <c r="H29" s="65">
        <f>VLOOKUP(A29,'Aux - pivots1'!$A:$B,2,0)</f>
        <v>5</v>
      </c>
      <c r="I29" s="189">
        <f>SUMIFS(Table1[Estimação (horas)],Table1[Tabela],Plano_V3!E29,Table1[Campo],Plano_V3!F29)</f>
        <v>0.6</v>
      </c>
      <c r="J29" s="189">
        <f t="shared" si="14"/>
        <v>7.4999999999999997E-2</v>
      </c>
      <c r="K29" s="189">
        <f>SUMIFS(Table1[Horas efetivas],Table1[Tabela],Plano_V3!E29,Table1[Campo],Plano_V3!F29)</f>
        <v>0.15</v>
      </c>
      <c r="L29" s="189">
        <f t="shared" si="14"/>
        <v>1.8749999999999999E-2</v>
      </c>
      <c r="M29" s="183"/>
      <c r="N29" s="183">
        <f t="shared" si="16"/>
        <v>0.25</v>
      </c>
      <c r="O29" s="183">
        <f t="shared" si="12"/>
        <v>0.25</v>
      </c>
      <c r="P29" s="90" t="s">
        <v>39</v>
      </c>
      <c r="Q29" s="91">
        <f t="shared" si="13"/>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5"/>
        <v>ENERGY_CERTIFICATE_EST_INPUTPROPERTY_CONTRACT_ID</v>
      </c>
      <c r="B30" s="68" t="s">
        <v>26</v>
      </c>
      <c r="C30" s="69" t="s">
        <v>34</v>
      </c>
      <c r="D30" s="65" t="s">
        <v>40</v>
      </c>
      <c r="E30" s="67" t="s">
        <v>37</v>
      </c>
      <c r="F30" s="67" t="s">
        <v>44</v>
      </c>
      <c r="G30" s="65" t="str">
        <f>INDEX(Auxiliar!$B$16:$B$24,MATCH(Plano_V3!H30,Auxiliar!$C$16:$C$24,0),1)</f>
        <v>4. Validação EF</v>
      </c>
      <c r="H30" s="65">
        <f>VLOOKUP(A30,'Aux - pivots1'!$A:$B,2,0)</f>
        <v>5</v>
      </c>
      <c r="I30" s="189">
        <f>SUMIFS(Table1[Estimação (horas)],Table1[Tabela],Plano_V3!E30,Table1[Campo],Plano_V3!F30)</f>
        <v>0.6</v>
      </c>
      <c r="J30" s="189">
        <f t="shared" si="14"/>
        <v>7.4999999999999997E-2</v>
      </c>
      <c r="K30" s="189">
        <f>SUMIFS(Table1[Horas efetivas],Table1[Tabela],Plano_V3!E30,Table1[Campo],Plano_V3!F30)</f>
        <v>0.15</v>
      </c>
      <c r="L30" s="189">
        <f t="shared" si="14"/>
        <v>1.8749999999999999E-2</v>
      </c>
      <c r="M30" s="183"/>
      <c r="N30" s="183">
        <f t="shared" si="16"/>
        <v>0.25</v>
      </c>
      <c r="O30" s="183">
        <f t="shared" si="12"/>
        <v>0.25</v>
      </c>
      <c r="P30" s="90" t="s">
        <v>39</v>
      </c>
      <c r="Q30" s="91">
        <f t="shared" si="13"/>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5"/>
        <v>ENERGY_CERTIFICATE_EST_INPUTPROPERTY_REFERENCE_CODE</v>
      </c>
      <c r="B31" s="68" t="s">
        <v>26</v>
      </c>
      <c r="C31" s="69" t="s">
        <v>34</v>
      </c>
      <c r="D31" s="65" t="s">
        <v>40</v>
      </c>
      <c r="E31" s="67" t="s">
        <v>37</v>
      </c>
      <c r="F31" s="67" t="s">
        <v>45</v>
      </c>
      <c r="G31" s="65" t="str">
        <f>INDEX(Auxiliar!$B$16:$B$24,MATCH(Plano_V3!H31,Auxiliar!$C$16:$C$24,0),1)</f>
        <v>4. Validação EF</v>
      </c>
      <c r="H31" s="65">
        <f>VLOOKUP(A31,'Aux - pivots1'!$A:$B,2,0)</f>
        <v>5</v>
      </c>
      <c r="I31" s="189">
        <f>SUMIFS(Table1[Estimação (horas)],Table1[Tabela],Plano_V3!E31,Table1[Campo],Plano_V3!F31)</f>
        <v>0.6</v>
      </c>
      <c r="J31" s="189">
        <f t="shared" si="14"/>
        <v>7.4999999999999997E-2</v>
      </c>
      <c r="K31" s="189">
        <f>SUMIFS(Table1[Horas efetivas],Table1[Tabela],Plano_V3!E31,Table1[Campo],Plano_V3!F31)</f>
        <v>0.15</v>
      </c>
      <c r="L31" s="189">
        <f t="shared" si="14"/>
        <v>1.8749999999999999E-2</v>
      </c>
      <c r="M31" s="183"/>
      <c r="N31" s="183">
        <f t="shared" si="16"/>
        <v>0.25</v>
      </c>
      <c r="O31" s="183">
        <f t="shared" si="12"/>
        <v>0.25</v>
      </c>
      <c r="P31" s="90" t="s">
        <v>39</v>
      </c>
      <c r="Q31" s="91">
        <f t="shared" si="13"/>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5"/>
        <v>ENERGY_CERTIFICATE_EST_INPUTDATA_EXTRACTION_DATE</v>
      </c>
      <c r="B32" s="68" t="s">
        <v>26</v>
      </c>
      <c r="C32" s="69" t="s">
        <v>34</v>
      </c>
      <c r="D32" s="65" t="s">
        <v>40</v>
      </c>
      <c r="E32" s="67" t="s">
        <v>37</v>
      </c>
      <c r="F32" s="67" t="s">
        <v>46</v>
      </c>
      <c r="G32" s="65" t="str">
        <f>INDEX(Auxiliar!$B$16:$B$24,MATCH(Plano_V3!H32,Auxiliar!$C$16:$C$24,0),1)</f>
        <v>4. Validação EF</v>
      </c>
      <c r="H32" s="65">
        <f>VLOOKUP(A32,'Aux - pivots1'!$A:$B,2,0)</f>
        <v>5</v>
      </c>
      <c r="I32" s="189">
        <f>SUMIFS(Table1[Estimação (horas)],Table1[Tabela],Plano_V3!E32,Table1[Campo],Plano_V3!F32)</f>
        <v>0.6</v>
      </c>
      <c r="J32" s="189">
        <f t="shared" si="14"/>
        <v>7.4999999999999997E-2</v>
      </c>
      <c r="K32" s="189">
        <f>SUMIFS(Table1[Horas efetivas],Table1[Tabela],Plano_V3!E32,Table1[Campo],Plano_V3!F32)</f>
        <v>0.15</v>
      </c>
      <c r="L32" s="189">
        <f t="shared" si="14"/>
        <v>1.8749999999999999E-2</v>
      </c>
      <c r="M32" s="183"/>
      <c r="N32" s="183">
        <f t="shared" si="16"/>
        <v>0.25</v>
      </c>
      <c r="O32" s="183">
        <f t="shared" si="12"/>
        <v>0.25</v>
      </c>
      <c r="P32" s="90" t="s">
        <v>39</v>
      </c>
      <c r="Q32" s="91">
        <f t="shared" si="13"/>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5"/>
        <v>ENERGY_CERTIFICATE_EST_INPUTEPC</v>
      </c>
      <c r="B33" s="68" t="s">
        <v>26</v>
      </c>
      <c r="C33" s="69" t="s">
        <v>34</v>
      </c>
      <c r="D33" s="65" t="s">
        <v>40</v>
      </c>
      <c r="E33" s="67" t="s">
        <v>37</v>
      </c>
      <c r="F33" s="67" t="s">
        <v>47</v>
      </c>
      <c r="G33" s="65" t="str">
        <f>INDEX(Auxiliar!$B$16:$B$24,MATCH(Plano_V3!H33,Auxiliar!$C$16:$C$24,0),1)</f>
        <v>4. Validação EF</v>
      </c>
      <c r="H33" s="65">
        <f>VLOOKUP(A33,'Aux - pivots1'!$A:$B,2,0)</f>
        <v>5</v>
      </c>
      <c r="I33" s="189">
        <f>SUMIFS(Table1[Estimação (horas)],Table1[Tabela],Plano_V3!E33,Table1[Campo],Plano_V3!F33)</f>
        <v>0.6</v>
      </c>
      <c r="J33" s="189">
        <f t="shared" si="14"/>
        <v>7.4999999999999997E-2</v>
      </c>
      <c r="K33" s="189">
        <f>SUMIFS(Table1[Horas efetivas],Table1[Tabela],Plano_V3!E33,Table1[Campo],Plano_V3!F33)</f>
        <v>0.15</v>
      </c>
      <c r="L33" s="189">
        <f t="shared" si="14"/>
        <v>1.8749999999999999E-2</v>
      </c>
      <c r="M33" s="183"/>
      <c r="N33" s="183">
        <f t="shared" si="16"/>
        <v>0.25</v>
      </c>
      <c r="O33" s="183">
        <f t="shared" si="12"/>
        <v>0.25</v>
      </c>
      <c r="P33" s="90" t="s">
        <v>39</v>
      </c>
      <c r="Q33" s="91">
        <f t="shared" si="13"/>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5"/>
        <v>ENERGY_CERTIFICATE_EST_INPUTDATA_PROVIDER</v>
      </c>
      <c r="B34" s="68" t="s">
        <v>26</v>
      </c>
      <c r="C34" s="69" t="s">
        <v>34</v>
      </c>
      <c r="D34" s="65" t="s">
        <v>40</v>
      </c>
      <c r="E34" s="67" t="s">
        <v>37</v>
      </c>
      <c r="F34" s="67" t="s">
        <v>48</v>
      </c>
      <c r="G34" s="65" t="str">
        <f>INDEX(Auxiliar!$B$16:$B$24,MATCH(Plano_V3!H34,Auxiliar!$C$16:$C$24,0),1)</f>
        <v>4. Validação EF</v>
      </c>
      <c r="H34" s="65">
        <f>VLOOKUP(A34,'Aux - pivots1'!$A:$B,2,0)</f>
        <v>5</v>
      </c>
      <c r="I34" s="189">
        <f>SUMIFS(Table1[Estimação (horas)],Table1[Tabela],Plano_V3!E34,Table1[Campo],Plano_V3!F34)</f>
        <v>0.6</v>
      </c>
      <c r="J34" s="189">
        <f t="shared" si="14"/>
        <v>7.4999999999999997E-2</v>
      </c>
      <c r="K34" s="189">
        <f>SUMIFS(Table1[Horas efetivas],Table1[Tabela],Plano_V3!E34,Table1[Campo],Plano_V3!F34)</f>
        <v>0.15</v>
      </c>
      <c r="L34" s="189">
        <f t="shared" si="14"/>
        <v>1.8749999999999999E-2</v>
      </c>
      <c r="M34" s="183"/>
      <c r="N34" s="183">
        <f t="shared" si="16"/>
        <v>0.25</v>
      </c>
      <c r="O34" s="183">
        <f t="shared" si="12"/>
        <v>0.25</v>
      </c>
      <c r="P34" s="90" t="s">
        <v>39</v>
      </c>
      <c r="Q34" s="91">
        <f t="shared" si="13"/>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5"/>
        <v>ENERGY_CERTIFICATE_EST_INPUTACTUAL_VALUE_IND</v>
      </c>
      <c r="B35" s="68" t="s">
        <v>26</v>
      </c>
      <c r="C35" s="69" t="s">
        <v>34</v>
      </c>
      <c r="D35" s="65" t="s">
        <v>40</v>
      </c>
      <c r="E35" s="67" t="s">
        <v>37</v>
      </c>
      <c r="F35" s="67" t="s">
        <v>49</v>
      </c>
      <c r="G35" s="65" t="str">
        <f>INDEX(Auxiliar!$B$16:$B$24,MATCH(Plano_V3!H35,Auxiliar!$C$16:$C$24,0),1)</f>
        <v>4. Validação EF</v>
      </c>
      <c r="H35" s="65">
        <f>VLOOKUP(A35,'Aux - pivots1'!$A:$B,2,0)</f>
        <v>5</v>
      </c>
      <c r="I35" s="189">
        <f>SUMIFS(Table1[Estimação (horas)],Table1[Tabela],Plano_V3!E35,Table1[Campo],Plano_V3!F35)</f>
        <v>0.6</v>
      </c>
      <c r="J35" s="189">
        <f t="shared" si="14"/>
        <v>7.4999999999999997E-2</v>
      </c>
      <c r="K35" s="189">
        <f>SUMIFS(Table1[Horas efetivas],Table1[Tabela],Plano_V3!E35,Table1[Campo],Plano_V3!F35)</f>
        <v>0.15</v>
      </c>
      <c r="L35" s="189">
        <f t="shared" si="14"/>
        <v>1.8749999999999999E-2</v>
      </c>
      <c r="M35" s="183"/>
      <c r="N35" s="183">
        <f t="shared" si="16"/>
        <v>0.25</v>
      </c>
      <c r="O35" s="183">
        <f t="shared" si="12"/>
        <v>0.25</v>
      </c>
      <c r="P35" s="90" t="s">
        <v>39</v>
      </c>
      <c r="Q35" s="91">
        <f t="shared" si="13"/>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5"/>
        <v>ENERGY_CERTIFICATE_EST_INPUTQUALITY_SCORE</v>
      </c>
      <c r="B36" s="68" t="s">
        <v>26</v>
      </c>
      <c r="C36" s="69" t="s">
        <v>34</v>
      </c>
      <c r="D36" s="65" t="s">
        <v>40</v>
      </c>
      <c r="E36" s="67" t="s">
        <v>37</v>
      </c>
      <c r="F36" s="67" t="s">
        <v>50</v>
      </c>
      <c r="G36" s="65" t="str">
        <f>INDEX(Auxiliar!$B$16:$B$24,MATCH(Plano_V3!H36,Auxiliar!$C$16:$C$24,0),1)</f>
        <v>4. Validação EF</v>
      </c>
      <c r="H36" s="65">
        <f>VLOOKUP(A36,'Aux - pivots1'!$A:$B,2,0)</f>
        <v>5</v>
      </c>
      <c r="I36" s="189">
        <f>SUMIFS(Table1[Estimação (horas)],Table1[Tabela],Plano_V3!E36,Table1[Campo],Plano_V3!F36)</f>
        <v>0.6</v>
      </c>
      <c r="J36" s="189">
        <f t="shared" si="14"/>
        <v>7.4999999999999997E-2</v>
      </c>
      <c r="K36" s="189">
        <f>SUMIFS(Table1[Horas efetivas],Table1[Tabela],Plano_V3!E36,Table1[Campo],Plano_V3!F36)</f>
        <v>0.15</v>
      </c>
      <c r="L36" s="189">
        <f t="shared" si="14"/>
        <v>1.8749999999999999E-2</v>
      </c>
      <c r="M36" s="183"/>
      <c r="N36" s="183">
        <f t="shared" si="16"/>
        <v>0.25</v>
      </c>
      <c r="O36" s="183">
        <f t="shared" si="12"/>
        <v>0.25</v>
      </c>
      <c r="P36" s="90" t="s">
        <v>39</v>
      </c>
      <c r="Q36" s="91">
        <f t="shared" si="13"/>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4. Validação EF</v>
      </c>
      <c r="H37" s="65">
        <f>VLOOKUP(A37,'Aux - pivots1'!$A:$B,2,0)</f>
        <v>5</v>
      </c>
      <c r="I37" s="189">
        <f>SUMIFS(Table1[Estimação (horas)],Table1[Tabela],Plano_V3!E37,Table1[Campo],Plano_V3!F37)</f>
        <v>0.6</v>
      </c>
      <c r="J37" s="189">
        <f t="shared" si="14"/>
        <v>7.4999999999999997E-2</v>
      </c>
      <c r="K37" s="189">
        <f>SUMIFS(Table1[Horas efetivas],Table1[Tabela],Plano_V3!E37,Table1[Campo],Plano_V3!F37)</f>
        <v>0.15</v>
      </c>
      <c r="L37" s="189">
        <f t="shared" si="14"/>
        <v>1.8749999999999999E-2</v>
      </c>
      <c r="M37" s="183"/>
      <c r="N37" s="183">
        <f t="shared" si="16"/>
        <v>0.25</v>
      </c>
      <c r="O37" s="183">
        <f t="shared" si="12"/>
        <v>0.25</v>
      </c>
      <c r="P37" s="90" t="s">
        <v>39</v>
      </c>
      <c r="Q37" s="91">
        <f t="shared" si="13"/>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5"/>
        <v>ENERGY_CERTIFICATE_EST_INPUTCARBON_EMISSION_VALUE_YEAR</v>
      </c>
      <c r="B38" s="68" t="s">
        <v>26</v>
      </c>
      <c r="C38" s="69" t="s">
        <v>34</v>
      </c>
      <c r="D38" s="65" t="s">
        <v>40</v>
      </c>
      <c r="E38" s="67" t="s">
        <v>37</v>
      </c>
      <c r="F38" s="67" t="s">
        <v>52</v>
      </c>
      <c r="G38" s="65" t="str">
        <f>INDEX(Auxiliar!$B$16:$B$24,MATCH(Plano_V3!H38,Auxiliar!$C$16:$C$24,0),1)</f>
        <v>4. Validação EF</v>
      </c>
      <c r="H38" s="65">
        <f>VLOOKUP(A38,'Aux - pivots1'!$A:$B,2,0)</f>
        <v>5</v>
      </c>
      <c r="I38" s="189">
        <f>SUMIFS(Table1[Estimação (horas)],Table1[Tabela],Plano_V3!E38,Table1[Campo],Plano_V3!F38)</f>
        <v>0.6</v>
      </c>
      <c r="J38" s="189">
        <f t="shared" si="14"/>
        <v>7.4999999999999997E-2</v>
      </c>
      <c r="K38" s="189">
        <f>SUMIFS(Table1[Horas efetivas],Table1[Tabela],Plano_V3!E38,Table1[Campo],Plano_V3!F38)</f>
        <v>0.15</v>
      </c>
      <c r="L38" s="189">
        <f t="shared" si="14"/>
        <v>1.8749999999999999E-2</v>
      </c>
      <c r="M38" s="183"/>
      <c r="N38" s="183">
        <f t="shared" si="16"/>
        <v>0.25</v>
      </c>
      <c r="O38" s="183">
        <f t="shared" si="12"/>
        <v>0.25</v>
      </c>
      <c r="P38" s="90" t="s">
        <v>39</v>
      </c>
      <c r="Q38" s="91">
        <f t="shared" si="13"/>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5"/>
        <v>Re-testesn.a.</v>
      </c>
      <c r="B39" s="68" t="s">
        <v>26</v>
      </c>
      <c r="C39" s="69" t="s">
        <v>34</v>
      </c>
      <c r="D39" s="65" t="s">
        <v>40</v>
      </c>
      <c r="E39" s="67" t="s">
        <v>53</v>
      </c>
      <c r="F39" s="65" t="s">
        <v>38</v>
      </c>
      <c r="G39" s="65" t="s">
        <v>28</v>
      </c>
      <c r="H39" s="65"/>
      <c r="I39" s="189">
        <f>SUM(I26:I38)*$D$6</f>
        <v>3.0399999999999991</v>
      </c>
      <c r="J39" s="189">
        <f>I39/8</f>
        <v>0.37999999999999989</v>
      </c>
      <c r="K39" s="189">
        <f>SUM(K26:K38)*$D$6</f>
        <v>0.75999999999999979</v>
      </c>
      <c r="L39" s="189">
        <f>K39/8</f>
        <v>9.4999999999999973E-2</v>
      </c>
      <c r="M39" s="183"/>
      <c r="N39" s="183">
        <f t="shared" si="16"/>
        <v>0.25</v>
      </c>
      <c r="O39" s="183">
        <f t="shared" si="12"/>
        <v>0.25</v>
      </c>
      <c r="P39" s="90" t="s">
        <v>39</v>
      </c>
      <c r="Q39" s="91">
        <f t="shared" si="13"/>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5"/>
        <v/>
      </c>
      <c r="B40" s="64" t="s">
        <v>26</v>
      </c>
      <c r="C40" s="97" t="s">
        <v>54</v>
      </c>
      <c r="D40" s="97"/>
      <c r="E40" s="104"/>
      <c r="F40" s="97"/>
      <c r="G40" s="97"/>
      <c r="H40" s="97"/>
      <c r="I40" s="188">
        <f>SUM(I41:I203)</f>
        <v>835.65000000000259</v>
      </c>
      <c r="J40" s="188">
        <f>ROUNDUP(I40/8,0)</f>
        <v>105</v>
      </c>
      <c r="K40" s="188">
        <f>SUM(K41:K203)</f>
        <v>830.92500000000257</v>
      </c>
      <c r="L40" s="188">
        <f>ROUNDUP(K40/8,0)</f>
        <v>104</v>
      </c>
      <c r="M40" s="187">
        <f>SUMIFS(R40:ES40,$R$9:$ES$9,"S")/J40</f>
        <v>0.95238095238095233</v>
      </c>
      <c r="N40" s="187">
        <f>IFERROR(L40/J40,0)</f>
        <v>0.99047619047619051</v>
      </c>
      <c r="O40" s="187">
        <f t="shared" si="12"/>
        <v>3.8095238095238182E-2</v>
      </c>
      <c r="P40" s="207" t="s">
        <v>1934</v>
      </c>
      <c r="Q40" s="91">
        <f t="shared" si="13"/>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5"/>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17">I41/8</f>
        <v>1</v>
      </c>
      <c r="K41" s="189">
        <f>SUMIFS(Table1[Horas efetivas],Table1[Tabela],Plano_V3!E41,Table1[Campo],Plano_V3!F41)</f>
        <v>8</v>
      </c>
      <c r="L41" s="189">
        <f t="shared" ref="L41:L104" si="18">K41/8</f>
        <v>1</v>
      </c>
      <c r="M41" s="183"/>
      <c r="N41" s="183">
        <f t="shared" ref="N41:N104" si="19">L41/J41</f>
        <v>1</v>
      </c>
      <c r="O41" s="183">
        <f t="shared" si="12"/>
        <v>1</v>
      </c>
      <c r="P41" s="90" t="s">
        <v>56</v>
      </c>
      <c r="Q41" s="91">
        <f t="shared" si="13"/>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5"/>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17"/>
        <v>0.51249999999999996</v>
      </c>
      <c r="K42" s="189">
        <f>SUMIFS(Table1[Horas efetivas],Table1[Tabela],Plano_V3!E42,Table1[Campo],Plano_V3!F42)</f>
        <v>4.0999999999999996</v>
      </c>
      <c r="L42" s="189">
        <f t="shared" si="18"/>
        <v>0.51249999999999996</v>
      </c>
      <c r="M42" s="183"/>
      <c r="N42" s="183">
        <f t="shared" si="19"/>
        <v>1</v>
      </c>
      <c r="O42" s="183">
        <f t="shared" si="12"/>
        <v>1</v>
      </c>
      <c r="P42" s="90" t="s">
        <v>56</v>
      </c>
      <c r="Q42" s="91">
        <f t="shared" si="13"/>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5"/>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17"/>
        <v>0.51249999999999996</v>
      </c>
      <c r="K43" s="189">
        <f>SUMIFS(Table1[Horas efetivas],Table1[Tabela],Plano_V3!E43,Table1[Campo],Plano_V3!F43)</f>
        <v>4.0999999999999996</v>
      </c>
      <c r="L43" s="189">
        <f t="shared" si="18"/>
        <v>0.51249999999999996</v>
      </c>
      <c r="M43" s="183"/>
      <c r="N43" s="183">
        <f t="shared" si="19"/>
        <v>1</v>
      </c>
      <c r="O43" s="183">
        <f t="shared" si="12"/>
        <v>1</v>
      </c>
      <c r="P43" s="90" t="s">
        <v>56</v>
      </c>
      <c r="Q43" s="91">
        <f t="shared" si="13"/>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5"/>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17"/>
        <v>0.51249999999999996</v>
      </c>
      <c r="K44" s="189">
        <f>SUMIFS(Table1[Horas efetivas],Table1[Tabela],Plano_V3!E44,Table1[Campo],Plano_V3!F44)</f>
        <v>4.0999999999999996</v>
      </c>
      <c r="L44" s="189">
        <f t="shared" si="18"/>
        <v>0.51249999999999996</v>
      </c>
      <c r="M44" s="183"/>
      <c r="N44" s="183">
        <f t="shared" si="19"/>
        <v>1</v>
      </c>
      <c r="O44" s="183">
        <f t="shared" si="12"/>
        <v>1</v>
      </c>
      <c r="P44" s="90" t="s">
        <v>56</v>
      </c>
      <c r="Q44" s="91">
        <f t="shared" si="13"/>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5"/>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17"/>
        <v>0</v>
      </c>
      <c r="K45" s="189">
        <f>SUMIFS(Table1[Horas efetivas],Table1[Tabela],Plano_V3!E45,Table1[Campo],Plano_V3!F45)</f>
        <v>0</v>
      </c>
      <c r="L45" s="189">
        <f t="shared" si="18"/>
        <v>0</v>
      </c>
      <c r="M45" s="183"/>
      <c r="N45" s="183" t="e">
        <f t="shared" si="19"/>
        <v>#DIV/0!</v>
      </c>
      <c r="O45" s="183" t="e">
        <f t="shared" si="12"/>
        <v>#DIV/0!</v>
      </c>
      <c r="P45" s="90" t="s">
        <v>56</v>
      </c>
      <c r="Q45" s="91">
        <f t="shared" si="13"/>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5"/>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17"/>
        <v>0.51249999999999996</v>
      </c>
      <c r="K46" s="189">
        <f>SUMIFS(Table1[Horas efetivas],Table1[Tabela],Plano_V3!E46,Table1[Campo],Plano_V3!F46)</f>
        <v>4.0999999999999996</v>
      </c>
      <c r="L46" s="189">
        <f t="shared" si="18"/>
        <v>0.51249999999999996</v>
      </c>
      <c r="M46" s="183"/>
      <c r="N46" s="183">
        <f t="shared" si="19"/>
        <v>1</v>
      </c>
      <c r="O46" s="183">
        <f t="shared" si="12"/>
        <v>1</v>
      </c>
      <c r="P46" s="90" t="s">
        <v>56</v>
      </c>
      <c r="Q46" s="91">
        <f t="shared" si="13"/>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5"/>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17"/>
        <v>0.51249999999999996</v>
      </c>
      <c r="K47" s="189">
        <f>SUMIFS(Table1[Horas efetivas],Table1[Tabela],Plano_V3!E47,Table1[Campo],Plano_V3!F47)</f>
        <v>4.0999999999999996</v>
      </c>
      <c r="L47" s="189">
        <f t="shared" si="18"/>
        <v>0.51249999999999996</v>
      </c>
      <c r="M47" s="183"/>
      <c r="N47" s="183">
        <f t="shared" si="19"/>
        <v>1</v>
      </c>
      <c r="O47" s="183">
        <f t="shared" si="12"/>
        <v>1</v>
      </c>
      <c r="P47" s="90" t="s">
        <v>56</v>
      </c>
      <c r="Q47" s="91">
        <f t="shared" si="13"/>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5"/>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17"/>
        <v>0.51249999999999996</v>
      </c>
      <c r="K48" s="189">
        <f>SUMIFS(Table1[Horas efetivas],Table1[Tabela],Plano_V3!E48,Table1[Campo],Plano_V3!F48)</f>
        <v>4.0999999999999996</v>
      </c>
      <c r="L48" s="189">
        <f t="shared" si="18"/>
        <v>0.51249999999999996</v>
      </c>
      <c r="M48" s="183"/>
      <c r="N48" s="183">
        <f t="shared" si="19"/>
        <v>1</v>
      </c>
      <c r="O48" s="183">
        <f t="shared" si="12"/>
        <v>1</v>
      </c>
      <c r="P48" s="90" t="s">
        <v>56</v>
      </c>
      <c r="Q48" s="91">
        <f t="shared" si="13"/>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5"/>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17"/>
        <v>0.51249999999999996</v>
      </c>
      <c r="K49" s="189">
        <f>SUMIFS(Table1[Horas efetivas],Table1[Tabela],Plano_V3!E49,Table1[Campo],Plano_V3!F49)</f>
        <v>4.0999999999999996</v>
      </c>
      <c r="L49" s="189">
        <f t="shared" si="18"/>
        <v>0.51249999999999996</v>
      </c>
      <c r="M49" s="183"/>
      <c r="N49" s="183">
        <f t="shared" si="19"/>
        <v>1</v>
      </c>
      <c r="O49" s="183">
        <f t="shared" si="12"/>
        <v>1</v>
      </c>
      <c r="P49" s="90" t="s">
        <v>56</v>
      </c>
      <c r="Q49" s="91">
        <f t="shared" si="13"/>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5"/>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17"/>
        <v>0.51249999999999996</v>
      </c>
      <c r="K50" s="189">
        <f>SUMIFS(Table1[Horas efetivas],Table1[Tabela],Plano_V3!E50,Table1[Campo],Plano_V3!F50)</f>
        <v>4.0999999999999996</v>
      </c>
      <c r="L50" s="189">
        <f t="shared" si="18"/>
        <v>0.51249999999999996</v>
      </c>
      <c r="M50" s="183"/>
      <c r="N50" s="183">
        <f t="shared" si="19"/>
        <v>1</v>
      </c>
      <c r="O50" s="183">
        <f t="shared" si="12"/>
        <v>1</v>
      </c>
      <c r="P50" s="90" t="s">
        <v>56</v>
      </c>
      <c r="Q50" s="91">
        <f t="shared" si="13"/>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5"/>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17"/>
        <v>0.51249999999999996</v>
      </c>
      <c r="K51" s="189">
        <f>SUMIFS(Table1[Horas efetivas],Table1[Tabela],Plano_V3!E51,Table1[Campo],Plano_V3!F51)</f>
        <v>4.0999999999999996</v>
      </c>
      <c r="L51" s="189">
        <f t="shared" si="18"/>
        <v>0.51249999999999996</v>
      </c>
      <c r="M51" s="183"/>
      <c r="N51" s="183">
        <f t="shared" si="19"/>
        <v>1</v>
      </c>
      <c r="O51" s="183">
        <f t="shared" si="12"/>
        <v>1</v>
      </c>
      <c r="P51" s="90" t="s">
        <v>56</v>
      </c>
      <c r="Q51" s="91">
        <f t="shared" si="13"/>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5"/>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17"/>
        <v>0.51249999999999996</v>
      </c>
      <c r="K52" s="189">
        <f>SUMIFS(Table1[Horas efetivas],Table1[Tabela],Plano_V3!E52,Table1[Campo],Plano_V3!F52)</f>
        <v>4.0999999999999996</v>
      </c>
      <c r="L52" s="189">
        <f t="shared" si="18"/>
        <v>0.51249999999999996</v>
      </c>
      <c r="M52" s="183"/>
      <c r="N52" s="183">
        <f t="shared" si="19"/>
        <v>1</v>
      </c>
      <c r="O52" s="183">
        <f t="shared" si="12"/>
        <v>1</v>
      </c>
      <c r="P52" s="90" t="s">
        <v>56</v>
      </c>
      <c r="Q52" s="91">
        <f t="shared" si="13"/>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5"/>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17"/>
        <v>0.51249999999999996</v>
      </c>
      <c r="K53" s="189">
        <f>SUMIFS(Table1[Horas efetivas],Table1[Tabela],Plano_V3!E53,Table1[Campo],Plano_V3!F53)</f>
        <v>4.0999999999999996</v>
      </c>
      <c r="L53" s="189">
        <f t="shared" si="18"/>
        <v>0.51249999999999996</v>
      </c>
      <c r="M53" s="183"/>
      <c r="N53" s="183">
        <f t="shared" si="19"/>
        <v>1</v>
      </c>
      <c r="O53" s="183">
        <f t="shared" si="12"/>
        <v>1</v>
      </c>
      <c r="P53" s="90" t="s">
        <v>56</v>
      </c>
      <c r="Q53" s="91">
        <f t="shared" si="13"/>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5"/>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17"/>
        <v>0.51249999999999996</v>
      </c>
      <c r="K54" s="189">
        <f>SUMIFS(Table1[Horas efetivas],Table1[Tabela],Plano_V3!E54,Table1[Campo],Plano_V3!F54)</f>
        <v>4.0999999999999996</v>
      </c>
      <c r="L54" s="189">
        <f t="shared" si="18"/>
        <v>0.51249999999999996</v>
      </c>
      <c r="M54" s="183"/>
      <c r="N54" s="183">
        <f t="shared" si="19"/>
        <v>1</v>
      </c>
      <c r="O54" s="183">
        <f t="shared" si="12"/>
        <v>1</v>
      </c>
      <c r="P54" s="90" t="s">
        <v>56</v>
      </c>
      <c r="Q54" s="91">
        <f t="shared" si="13"/>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5"/>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17"/>
        <v>0</v>
      </c>
      <c r="K55" s="189">
        <f>SUMIFS(Table1[Horas efetivas],Table1[Tabela],Plano_V3!E55,Table1[Campo],Plano_V3!F55)</f>
        <v>0</v>
      </c>
      <c r="L55" s="189">
        <f t="shared" si="18"/>
        <v>0</v>
      </c>
      <c r="M55" s="183"/>
      <c r="N55" s="183" t="e">
        <f t="shared" si="19"/>
        <v>#DIV/0!</v>
      </c>
      <c r="O55" s="183" t="e">
        <f t="shared" si="12"/>
        <v>#DIV/0!</v>
      </c>
      <c r="P55" s="90" t="s">
        <v>56</v>
      </c>
      <c r="Q55" s="91">
        <f t="shared" si="13"/>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5"/>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17"/>
        <v>0</v>
      </c>
      <c r="K56" s="189">
        <f>SUMIFS(Table1[Horas efetivas],Table1[Tabela],Plano_V3!E56,Table1[Campo],Plano_V3!F56)</f>
        <v>0</v>
      </c>
      <c r="L56" s="189">
        <f t="shared" si="18"/>
        <v>0</v>
      </c>
      <c r="M56" s="183"/>
      <c r="N56" s="183" t="e">
        <f t="shared" si="19"/>
        <v>#DIV/0!</v>
      </c>
      <c r="O56" s="183" t="e">
        <f t="shared" si="12"/>
        <v>#DIV/0!</v>
      </c>
      <c r="P56" s="90" t="s">
        <v>56</v>
      </c>
      <c r="Q56" s="91">
        <f t="shared" si="13"/>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5"/>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17"/>
        <v>0.51249999999999996</v>
      </c>
      <c r="K57" s="189">
        <f>SUMIFS(Table1[Horas efetivas],Table1[Tabela],Plano_V3!E57,Table1[Campo],Plano_V3!F57)</f>
        <v>0</v>
      </c>
      <c r="L57" s="189">
        <f t="shared" si="18"/>
        <v>0</v>
      </c>
      <c r="M57" s="183"/>
      <c r="N57" s="183">
        <f t="shared" si="19"/>
        <v>0</v>
      </c>
      <c r="O57" s="183">
        <f t="shared" si="12"/>
        <v>0</v>
      </c>
      <c r="P57" s="90" t="s">
        <v>56</v>
      </c>
      <c r="Q57" s="91">
        <f t="shared" si="13"/>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5"/>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17"/>
        <v>0.51249999999999996</v>
      </c>
      <c r="K58" s="189">
        <f>SUMIFS(Table1[Horas efetivas],Table1[Tabela],Plano_V3!E58,Table1[Campo],Plano_V3!F58)</f>
        <v>4.0999999999999996</v>
      </c>
      <c r="L58" s="189">
        <f t="shared" si="18"/>
        <v>0.51249999999999996</v>
      </c>
      <c r="M58" s="183"/>
      <c r="N58" s="183">
        <f t="shared" si="19"/>
        <v>1</v>
      </c>
      <c r="O58" s="183">
        <f t="shared" si="12"/>
        <v>1</v>
      </c>
      <c r="P58" s="90" t="s">
        <v>56</v>
      </c>
      <c r="Q58" s="91">
        <f t="shared" si="13"/>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5"/>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17"/>
        <v>1</v>
      </c>
      <c r="K59" s="189">
        <f>SUMIFS(Table1[Horas efetivas],Table1[Tabela],Plano_V3!E59,Table1[Campo],Plano_V3!F59)</f>
        <v>8</v>
      </c>
      <c r="L59" s="189">
        <f t="shared" si="18"/>
        <v>1</v>
      </c>
      <c r="M59" s="183"/>
      <c r="N59" s="183">
        <f t="shared" si="19"/>
        <v>1</v>
      </c>
      <c r="O59" s="183">
        <f t="shared" si="12"/>
        <v>1</v>
      </c>
      <c r="P59" s="90" t="s">
        <v>39</v>
      </c>
      <c r="Q59" s="91">
        <f t="shared" si="13"/>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5"/>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17"/>
        <v>1.0125</v>
      </c>
      <c r="K60" s="189">
        <f>SUMIFS(Table1[Horas efetivas],Table1[Tabela],Plano_V3!E60,Table1[Campo],Plano_V3!F60)</f>
        <v>8.1</v>
      </c>
      <c r="L60" s="189">
        <f t="shared" si="18"/>
        <v>1.0125</v>
      </c>
      <c r="M60" s="183"/>
      <c r="N60" s="183">
        <f t="shared" si="19"/>
        <v>1</v>
      </c>
      <c r="O60" s="183">
        <f t="shared" si="12"/>
        <v>1</v>
      </c>
      <c r="P60" s="90" t="s">
        <v>39</v>
      </c>
      <c r="Q60" s="91">
        <f t="shared" si="13"/>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5"/>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17"/>
        <v>1.0125</v>
      </c>
      <c r="K61" s="189">
        <f>SUMIFS(Table1[Horas efetivas],Table1[Tabela],Plano_V3!E61,Table1[Campo],Plano_V3!F61)</f>
        <v>8.1</v>
      </c>
      <c r="L61" s="189">
        <f t="shared" si="18"/>
        <v>1.0125</v>
      </c>
      <c r="M61" s="183"/>
      <c r="N61" s="183">
        <f t="shared" si="19"/>
        <v>1</v>
      </c>
      <c r="O61" s="183">
        <f t="shared" si="12"/>
        <v>1</v>
      </c>
      <c r="P61" s="90" t="s">
        <v>39</v>
      </c>
      <c r="Q61" s="91">
        <f t="shared" si="13"/>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5"/>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17"/>
        <v>1.0125</v>
      </c>
      <c r="K62" s="189">
        <f>SUMIFS(Table1[Horas efetivas],Table1[Tabela],Plano_V3!E62,Table1[Campo],Plano_V3!F62)</f>
        <v>8.1</v>
      </c>
      <c r="L62" s="189">
        <f t="shared" si="18"/>
        <v>1.0125</v>
      </c>
      <c r="M62" s="183"/>
      <c r="N62" s="183">
        <f t="shared" si="19"/>
        <v>1</v>
      </c>
      <c r="O62" s="183">
        <f t="shared" si="12"/>
        <v>1</v>
      </c>
      <c r="P62" s="90" t="s">
        <v>39</v>
      </c>
      <c r="Q62" s="91">
        <f t="shared" si="13"/>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5"/>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17"/>
        <v>1.0125</v>
      </c>
      <c r="K63" s="189">
        <f>SUMIFS(Table1[Horas efetivas],Table1[Tabela],Plano_V3!E63,Table1[Campo],Plano_V3!F63)</f>
        <v>8.1</v>
      </c>
      <c r="L63" s="189">
        <f t="shared" si="18"/>
        <v>1.0125</v>
      </c>
      <c r="M63" s="183"/>
      <c r="N63" s="183">
        <f t="shared" si="19"/>
        <v>1</v>
      </c>
      <c r="O63" s="183">
        <f t="shared" si="12"/>
        <v>1</v>
      </c>
      <c r="P63" s="90" t="s">
        <v>39</v>
      </c>
      <c r="Q63" s="91">
        <f t="shared" si="13"/>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5"/>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17"/>
        <v>1.0125</v>
      </c>
      <c r="K64" s="189">
        <f>SUMIFS(Table1[Horas efetivas],Table1[Tabela],Plano_V3!E64,Table1[Campo],Plano_V3!F64)</f>
        <v>8.1</v>
      </c>
      <c r="L64" s="189">
        <f t="shared" si="18"/>
        <v>1.0125</v>
      </c>
      <c r="M64" s="183"/>
      <c r="N64" s="183">
        <f t="shared" si="19"/>
        <v>1</v>
      </c>
      <c r="O64" s="183">
        <f t="shared" si="12"/>
        <v>1</v>
      </c>
      <c r="P64" s="90" t="s">
        <v>39</v>
      </c>
      <c r="Q64" s="91">
        <f t="shared" si="13"/>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5"/>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17"/>
        <v>1.0125</v>
      </c>
      <c r="K65" s="189">
        <f>SUMIFS(Table1[Horas efetivas],Table1[Tabela],Plano_V3!E65,Table1[Campo],Plano_V3!F65)</f>
        <v>8.1</v>
      </c>
      <c r="L65" s="189">
        <f t="shared" si="18"/>
        <v>1.0125</v>
      </c>
      <c r="M65" s="183"/>
      <c r="N65" s="183">
        <f t="shared" si="19"/>
        <v>1</v>
      </c>
      <c r="O65" s="183">
        <f t="shared" si="12"/>
        <v>1</v>
      </c>
      <c r="P65" s="90" t="s">
        <v>39</v>
      </c>
      <c r="Q65" s="91">
        <f t="shared" si="13"/>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5"/>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17"/>
        <v>1.0125</v>
      </c>
      <c r="K66" s="189">
        <f>SUMIFS(Table1[Horas efetivas],Table1[Tabela],Plano_V3!E66,Table1[Campo],Plano_V3!F66)</f>
        <v>8.1</v>
      </c>
      <c r="L66" s="189">
        <f t="shared" si="18"/>
        <v>1.0125</v>
      </c>
      <c r="M66" s="183"/>
      <c r="N66" s="183">
        <f t="shared" si="19"/>
        <v>1</v>
      </c>
      <c r="O66" s="183">
        <f t="shared" si="12"/>
        <v>1</v>
      </c>
      <c r="P66" s="90" t="s">
        <v>39</v>
      </c>
      <c r="Q66" s="91">
        <f t="shared" si="13"/>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5"/>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17"/>
        <v>1.0125</v>
      </c>
      <c r="K67" s="189">
        <f>SUMIFS(Table1[Horas efetivas],Table1[Tabela],Plano_V3!E67,Table1[Campo],Plano_V3!F67)</f>
        <v>8.1</v>
      </c>
      <c r="L67" s="189">
        <f t="shared" si="18"/>
        <v>1.0125</v>
      </c>
      <c r="M67" s="183"/>
      <c r="N67" s="183">
        <f t="shared" si="19"/>
        <v>1</v>
      </c>
      <c r="O67" s="183">
        <f t="shared" si="12"/>
        <v>1</v>
      </c>
      <c r="P67" s="90" t="s">
        <v>39</v>
      </c>
      <c r="Q67" s="91">
        <f t="shared" si="13"/>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5"/>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17"/>
        <v>1.0125</v>
      </c>
      <c r="K68" s="189">
        <f>SUMIFS(Table1[Horas efetivas],Table1[Tabela],Plano_V3!E68,Table1[Campo],Plano_V3!F68)</f>
        <v>8.1</v>
      </c>
      <c r="L68" s="189">
        <f t="shared" si="18"/>
        <v>1.0125</v>
      </c>
      <c r="M68" s="183"/>
      <c r="N68" s="183">
        <f t="shared" si="19"/>
        <v>1</v>
      </c>
      <c r="O68" s="183">
        <f t="shared" si="12"/>
        <v>1</v>
      </c>
      <c r="P68" s="90" t="s">
        <v>39</v>
      </c>
      <c r="Q68" s="91">
        <f t="shared" si="13"/>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5"/>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17"/>
        <v>1.0125</v>
      </c>
      <c r="K69" s="189">
        <f>SUMIFS(Table1[Horas efetivas],Table1[Tabela],Plano_V3!E69,Table1[Campo],Plano_V3!F69)</f>
        <v>8.1</v>
      </c>
      <c r="L69" s="189">
        <f t="shared" si="18"/>
        <v>1.0125</v>
      </c>
      <c r="M69" s="183"/>
      <c r="N69" s="183">
        <f t="shared" si="19"/>
        <v>1</v>
      </c>
      <c r="O69" s="183">
        <f t="shared" si="12"/>
        <v>1</v>
      </c>
      <c r="P69" s="90" t="s">
        <v>39</v>
      </c>
      <c r="Q69" s="91">
        <f t="shared" si="13"/>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5"/>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17"/>
        <v>0</v>
      </c>
      <c r="K70" s="189">
        <f>SUMIFS(Table1[Horas efetivas],Table1[Tabela],Plano_V3!E70,Table1[Campo],Plano_V3!F70)</f>
        <v>0</v>
      </c>
      <c r="L70" s="189">
        <f t="shared" si="18"/>
        <v>0</v>
      </c>
      <c r="M70" s="183"/>
      <c r="N70" s="183" t="e">
        <f t="shared" si="19"/>
        <v>#DIV/0!</v>
      </c>
      <c r="O70" s="183" t="e">
        <f t="shared" si="12"/>
        <v>#DIV/0!</v>
      </c>
      <c r="P70" s="90" t="s">
        <v>39</v>
      </c>
      <c r="Q70" s="91">
        <f t="shared" si="13"/>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5"/>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17"/>
        <v>1.0125</v>
      </c>
      <c r="K71" s="189">
        <f>SUMIFS(Table1[Horas efetivas],Table1[Tabela],Plano_V3!E71,Table1[Campo],Plano_V3!F71)</f>
        <v>8.1</v>
      </c>
      <c r="L71" s="189">
        <f t="shared" si="18"/>
        <v>1.0125</v>
      </c>
      <c r="M71" s="183"/>
      <c r="N71" s="183">
        <f t="shared" si="19"/>
        <v>1</v>
      </c>
      <c r="O71" s="183">
        <f t="shared" si="12"/>
        <v>1</v>
      </c>
      <c r="P71" s="90" t="s">
        <v>39</v>
      </c>
      <c r="Q71" s="91">
        <f t="shared" si="13"/>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5"/>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17"/>
        <v>1.0125</v>
      </c>
      <c r="K72" s="189">
        <f>SUMIFS(Table1[Horas efetivas],Table1[Tabela],Plano_V3!E72,Table1[Campo],Plano_V3!F72)</f>
        <v>8.1</v>
      </c>
      <c r="L72" s="189">
        <f t="shared" si="18"/>
        <v>1.0125</v>
      </c>
      <c r="M72" s="183"/>
      <c r="N72" s="183">
        <f t="shared" si="19"/>
        <v>1</v>
      </c>
      <c r="O72" s="183">
        <f t="shared" si="12"/>
        <v>1</v>
      </c>
      <c r="P72" s="90" t="s">
        <v>39</v>
      </c>
      <c r="Q72" s="91">
        <f t="shared" si="13"/>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5"/>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17"/>
        <v>1.0125</v>
      </c>
      <c r="K73" s="189">
        <f>SUMIFS(Table1[Horas efetivas],Table1[Tabela],Plano_V3!E73,Table1[Campo],Plano_V3!F73)</f>
        <v>8.1</v>
      </c>
      <c r="L73" s="189">
        <f t="shared" si="18"/>
        <v>1.0125</v>
      </c>
      <c r="M73" s="183"/>
      <c r="N73" s="183">
        <f t="shared" si="19"/>
        <v>1</v>
      </c>
      <c r="O73" s="183">
        <f t="shared" si="12"/>
        <v>1</v>
      </c>
      <c r="P73" s="90" t="s">
        <v>39</v>
      </c>
      <c r="Q73" s="91">
        <f t="shared" si="13"/>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5"/>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17"/>
        <v>1.0125</v>
      </c>
      <c r="K74" s="189">
        <f>SUMIFS(Table1[Horas efetivas],Table1[Tabela],Plano_V3!E74,Table1[Campo],Plano_V3!F74)</f>
        <v>8.1</v>
      </c>
      <c r="L74" s="189">
        <f t="shared" si="18"/>
        <v>1.0125</v>
      </c>
      <c r="M74" s="183"/>
      <c r="N74" s="183">
        <f t="shared" si="19"/>
        <v>1</v>
      </c>
      <c r="O74" s="183">
        <f t="shared" si="12"/>
        <v>1</v>
      </c>
      <c r="P74" s="90" t="s">
        <v>39</v>
      </c>
      <c r="Q74" s="91">
        <f t="shared" si="13"/>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5"/>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17"/>
        <v>1.0125</v>
      </c>
      <c r="K75" s="189">
        <f>SUMIFS(Table1[Horas efetivas],Table1[Tabela],Plano_V3!E75,Table1[Campo],Plano_V3!F75)</f>
        <v>8.1</v>
      </c>
      <c r="L75" s="189">
        <f t="shared" si="18"/>
        <v>1.0125</v>
      </c>
      <c r="M75" s="183"/>
      <c r="N75" s="183">
        <f t="shared" si="19"/>
        <v>1</v>
      </c>
      <c r="O75" s="183">
        <f t="shared" si="12"/>
        <v>1</v>
      </c>
      <c r="P75" s="90" t="s">
        <v>39</v>
      </c>
      <c r="Q75" s="91">
        <f t="shared" si="13"/>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5"/>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17"/>
        <v>0</v>
      </c>
      <c r="K76" s="189">
        <f>SUMIFS(Table1[Horas efetivas],Table1[Tabela],Plano_V3!E76,Table1[Campo],Plano_V3!F76)</f>
        <v>0</v>
      </c>
      <c r="L76" s="189">
        <f t="shared" si="18"/>
        <v>0</v>
      </c>
      <c r="M76" s="183"/>
      <c r="N76" s="183" t="e">
        <f t="shared" si="19"/>
        <v>#DIV/0!</v>
      </c>
      <c r="O76" s="183" t="e">
        <f t="shared" si="12"/>
        <v>#DIV/0!</v>
      </c>
      <c r="P76" s="90" t="s">
        <v>39</v>
      </c>
      <c r="Q76" s="91">
        <f t="shared" si="13"/>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5"/>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17"/>
        <v>0</v>
      </c>
      <c r="K77" s="189">
        <f>SUMIFS(Table1[Horas efetivas],Table1[Tabela],Plano_V3!E77,Table1[Campo],Plano_V3!F77)</f>
        <v>0</v>
      </c>
      <c r="L77" s="189">
        <f t="shared" si="18"/>
        <v>0</v>
      </c>
      <c r="M77" s="183"/>
      <c r="N77" s="183" t="e">
        <f t="shared" si="19"/>
        <v>#DIV/0!</v>
      </c>
      <c r="O77" s="183" t="e">
        <f t="shared" si="12"/>
        <v>#DIV/0!</v>
      </c>
      <c r="P77" s="90" t="s">
        <v>39</v>
      </c>
      <c r="Q77" s="91">
        <f t="shared" si="13"/>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5"/>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17"/>
        <v>0.51249999999999996</v>
      </c>
      <c r="K78" s="189">
        <f>SUMIFS(Table1[Horas efetivas],Table1[Tabela],Plano_V3!E78,Table1[Campo],Plano_V3!F78)</f>
        <v>4.0999999999999996</v>
      </c>
      <c r="L78" s="189">
        <f t="shared" si="18"/>
        <v>0.51249999999999996</v>
      </c>
      <c r="M78" s="183"/>
      <c r="N78" s="183">
        <f t="shared" si="19"/>
        <v>1</v>
      </c>
      <c r="O78" s="183">
        <f t="shared" si="12"/>
        <v>1</v>
      </c>
      <c r="P78" s="90" t="s">
        <v>39</v>
      </c>
      <c r="Q78" s="91">
        <f t="shared" si="13"/>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5"/>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17"/>
        <v>0.51249999999999996</v>
      </c>
      <c r="K79" s="189">
        <f>SUMIFS(Table1[Horas efetivas],Table1[Tabela],Plano_V3!E79,Table1[Campo],Plano_V3!F79)</f>
        <v>4.0999999999999996</v>
      </c>
      <c r="L79" s="189">
        <f t="shared" si="18"/>
        <v>0.51249999999999996</v>
      </c>
      <c r="M79" s="183"/>
      <c r="N79" s="183">
        <f t="shared" si="19"/>
        <v>1</v>
      </c>
      <c r="O79" s="183">
        <f t="shared" si="12"/>
        <v>1</v>
      </c>
      <c r="P79" s="90" t="s">
        <v>39</v>
      </c>
      <c r="Q79" s="91">
        <f t="shared" si="13"/>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5"/>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17"/>
        <v>1</v>
      </c>
      <c r="K80" s="189">
        <f>SUMIFS(Table1[Horas efetivas],Table1[Tabela],Plano_V3!E80,Table1[Campo],Plano_V3!F80)</f>
        <v>8</v>
      </c>
      <c r="L80" s="189">
        <f t="shared" si="18"/>
        <v>1</v>
      </c>
      <c r="M80" s="183"/>
      <c r="N80" s="183">
        <f t="shared" si="19"/>
        <v>1</v>
      </c>
      <c r="O80" s="183">
        <f t="shared" si="12"/>
        <v>1</v>
      </c>
      <c r="P80" s="90" t="s">
        <v>56</v>
      </c>
      <c r="Q80" s="91">
        <f t="shared" si="13"/>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5"/>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17"/>
        <v>0.51249999999999996</v>
      </c>
      <c r="K81" s="189">
        <f>SUMIFS(Table1[Horas efetivas],Table1[Tabela],Plano_V3!E81,Table1[Campo],Plano_V3!F81)</f>
        <v>4.0999999999999996</v>
      </c>
      <c r="L81" s="189">
        <f t="shared" si="18"/>
        <v>0.51249999999999996</v>
      </c>
      <c r="M81" s="183"/>
      <c r="N81" s="183">
        <f t="shared" si="19"/>
        <v>1</v>
      </c>
      <c r="O81" s="183">
        <f t="shared" si="12"/>
        <v>1</v>
      </c>
      <c r="P81" s="90" t="s">
        <v>56</v>
      </c>
      <c r="Q81" s="91">
        <f t="shared" si="13"/>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5"/>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17"/>
        <v>1.0125</v>
      </c>
      <c r="K82" s="189">
        <f>SUMIFS(Table1[Horas efetivas],Table1[Tabela],Plano_V3!E82,Table1[Campo],Plano_V3!F82)</f>
        <v>8.1</v>
      </c>
      <c r="L82" s="189">
        <f t="shared" si="18"/>
        <v>1.0125</v>
      </c>
      <c r="M82" s="183"/>
      <c r="N82" s="183">
        <f t="shared" si="19"/>
        <v>1</v>
      </c>
      <c r="O82" s="183">
        <f t="shared" si="12"/>
        <v>1</v>
      </c>
      <c r="P82" s="90" t="s">
        <v>56</v>
      </c>
      <c r="Q82" s="91">
        <f t="shared" si="13"/>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5"/>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17"/>
        <v>1.0125</v>
      </c>
      <c r="K83" s="189">
        <f>SUMIFS(Table1[Horas efetivas],Table1[Tabela],Plano_V3!E83,Table1[Campo],Plano_V3!F83)</f>
        <v>8.1</v>
      </c>
      <c r="L83" s="189">
        <f t="shared" si="18"/>
        <v>1.0125</v>
      </c>
      <c r="M83" s="183"/>
      <c r="N83" s="183">
        <f t="shared" si="19"/>
        <v>1</v>
      </c>
      <c r="O83" s="183">
        <f t="shared" si="12"/>
        <v>1</v>
      </c>
      <c r="P83" s="90" t="s">
        <v>56</v>
      </c>
      <c r="Q83" s="91">
        <f t="shared" si="13"/>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5"/>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17"/>
        <v>1.0125</v>
      </c>
      <c r="K84" s="189">
        <f>SUMIFS(Table1[Horas efetivas],Table1[Tabela],Plano_V3!E84,Table1[Campo],Plano_V3!F84)</f>
        <v>8.1</v>
      </c>
      <c r="L84" s="189">
        <f t="shared" si="18"/>
        <v>1.0125</v>
      </c>
      <c r="M84" s="183"/>
      <c r="N84" s="183">
        <f t="shared" si="19"/>
        <v>1</v>
      </c>
      <c r="O84" s="183">
        <f t="shared" si="12"/>
        <v>1</v>
      </c>
      <c r="P84" s="90" t="s">
        <v>56</v>
      </c>
      <c r="Q84" s="91">
        <f t="shared" si="13"/>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5"/>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17"/>
        <v>1.0125</v>
      </c>
      <c r="K85" s="189">
        <f>SUMIFS(Table1[Horas efetivas],Table1[Tabela],Plano_V3!E85,Table1[Campo],Plano_V3!F85)</f>
        <v>8.1</v>
      </c>
      <c r="L85" s="189">
        <f t="shared" si="18"/>
        <v>1.0125</v>
      </c>
      <c r="M85" s="183"/>
      <c r="N85" s="183">
        <f t="shared" si="19"/>
        <v>1</v>
      </c>
      <c r="O85" s="183">
        <f t="shared" si="12"/>
        <v>1</v>
      </c>
      <c r="P85" s="90" t="s">
        <v>56</v>
      </c>
      <c r="Q85" s="91">
        <f t="shared" si="13"/>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5"/>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17"/>
        <v>1.0125</v>
      </c>
      <c r="K86" s="189">
        <f>SUMIFS(Table1[Horas efetivas],Table1[Tabela],Plano_V3!E86,Table1[Campo],Plano_V3!F86)</f>
        <v>8.1</v>
      </c>
      <c r="L86" s="189">
        <f t="shared" si="18"/>
        <v>1.0125</v>
      </c>
      <c r="M86" s="183"/>
      <c r="N86" s="183">
        <f t="shared" si="19"/>
        <v>1</v>
      </c>
      <c r="O86" s="183">
        <f t="shared" si="12"/>
        <v>1</v>
      </c>
      <c r="P86" s="90" t="s">
        <v>56</v>
      </c>
      <c r="Q86" s="91">
        <f t="shared" si="13"/>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5"/>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17"/>
        <v>0.51249999999999996</v>
      </c>
      <c r="K87" s="189">
        <f>SUMIFS(Table1[Horas efetivas],Table1[Tabela],Plano_V3!E87,Table1[Campo],Plano_V3!F87)</f>
        <v>4.0999999999999996</v>
      </c>
      <c r="L87" s="189">
        <f t="shared" si="18"/>
        <v>0.51249999999999996</v>
      </c>
      <c r="M87" s="183"/>
      <c r="N87" s="183">
        <f t="shared" si="19"/>
        <v>1</v>
      </c>
      <c r="O87" s="183">
        <f t="shared" si="12"/>
        <v>1</v>
      </c>
      <c r="P87" s="90" t="s">
        <v>56</v>
      </c>
      <c r="Q87" s="91">
        <f t="shared" si="13"/>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5"/>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17"/>
        <v>1.0125</v>
      </c>
      <c r="K88" s="189">
        <f>SUMIFS(Table1[Horas efetivas],Table1[Tabela],Plano_V3!E88,Table1[Campo],Plano_V3!F88)</f>
        <v>8.1</v>
      </c>
      <c r="L88" s="189">
        <f t="shared" si="18"/>
        <v>1.0125</v>
      </c>
      <c r="M88" s="183"/>
      <c r="N88" s="183">
        <f t="shared" si="19"/>
        <v>1</v>
      </c>
      <c r="O88" s="183">
        <f t="shared" ref="O88:O152" si="20">N88-M88</f>
        <v>1</v>
      </c>
      <c r="P88" s="90" t="s">
        <v>56</v>
      </c>
      <c r="Q88" s="91">
        <f t="shared" si="13"/>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5"/>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17"/>
        <v>0</v>
      </c>
      <c r="K89" s="189">
        <f>SUMIFS(Table1[Horas efetivas],Table1[Tabela],Plano_V3!E89,Table1[Campo],Plano_V3!F89)</f>
        <v>0</v>
      </c>
      <c r="L89" s="189">
        <f t="shared" si="18"/>
        <v>0</v>
      </c>
      <c r="M89" s="183"/>
      <c r="N89" s="183" t="e">
        <f t="shared" si="19"/>
        <v>#DIV/0!</v>
      </c>
      <c r="O89" s="183" t="e">
        <f t="shared" si="20"/>
        <v>#DIV/0!</v>
      </c>
      <c r="P89" s="90" t="s">
        <v>56</v>
      </c>
      <c r="Q89" s="91">
        <f t="shared" ref="Q89:Q153" si="21">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5"/>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17"/>
        <v>0.51249999999999996</v>
      </c>
      <c r="K90" s="189">
        <f>SUMIFS(Table1[Horas efetivas],Table1[Tabela],Plano_V3!E90,Table1[Campo],Plano_V3!F90)</f>
        <v>4.0999999999999996</v>
      </c>
      <c r="L90" s="189">
        <f t="shared" si="18"/>
        <v>0.51249999999999996</v>
      </c>
      <c r="M90" s="183"/>
      <c r="N90" s="183">
        <f t="shared" si="19"/>
        <v>1</v>
      </c>
      <c r="O90" s="183">
        <f t="shared" si="20"/>
        <v>1</v>
      </c>
      <c r="P90" s="90" t="s">
        <v>56</v>
      </c>
      <c r="Q90" s="91">
        <f t="shared" si="21"/>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2">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17"/>
        <v>0.51249999999999996</v>
      </c>
      <c r="K91" s="189">
        <f>SUMIFS(Table1[Horas efetivas],Table1[Tabela],Plano_V3!E91,Table1[Campo],Plano_V3!F91)</f>
        <v>4.0999999999999996</v>
      </c>
      <c r="L91" s="189">
        <f t="shared" si="18"/>
        <v>0.51249999999999996</v>
      </c>
      <c r="M91" s="183"/>
      <c r="N91" s="183">
        <f t="shared" si="19"/>
        <v>1</v>
      </c>
      <c r="O91" s="183">
        <f t="shared" si="20"/>
        <v>1</v>
      </c>
      <c r="P91" s="90" t="s">
        <v>56</v>
      </c>
      <c r="Q91" s="91">
        <f t="shared" si="21"/>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2"/>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17"/>
        <v>0.51249999999999996</v>
      </c>
      <c r="K92" s="189">
        <f>SUMIFS(Table1[Horas efetivas],Table1[Tabela],Plano_V3!E92,Table1[Campo],Plano_V3!F92)</f>
        <v>4.0999999999999996</v>
      </c>
      <c r="L92" s="189">
        <f t="shared" si="18"/>
        <v>0.51249999999999996</v>
      </c>
      <c r="M92" s="183"/>
      <c r="N92" s="183">
        <f t="shared" si="19"/>
        <v>1</v>
      </c>
      <c r="O92" s="183">
        <f t="shared" si="20"/>
        <v>1</v>
      </c>
      <c r="P92" s="90" t="s">
        <v>56</v>
      </c>
      <c r="Q92" s="91">
        <f t="shared" si="21"/>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2"/>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17"/>
        <v>0.51249999999999996</v>
      </c>
      <c r="K93" s="189">
        <f>SUMIFS(Table1[Horas efetivas],Table1[Tabela],Plano_V3!E93,Table1[Campo],Plano_V3!F93)</f>
        <v>4.0999999999999996</v>
      </c>
      <c r="L93" s="189">
        <f t="shared" si="18"/>
        <v>0.51249999999999996</v>
      </c>
      <c r="M93" s="183"/>
      <c r="N93" s="183">
        <f t="shared" si="19"/>
        <v>1</v>
      </c>
      <c r="O93" s="183">
        <f t="shared" si="20"/>
        <v>1</v>
      </c>
      <c r="P93" s="90" t="s">
        <v>56</v>
      </c>
      <c r="Q93" s="91">
        <f t="shared" si="21"/>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2"/>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17"/>
        <v>0.51249999999999996</v>
      </c>
      <c r="K94" s="189">
        <f>SUMIFS(Table1[Horas efetivas],Table1[Tabela],Plano_V3!E94,Table1[Campo],Plano_V3!F94)</f>
        <v>4.0999999999999996</v>
      </c>
      <c r="L94" s="189">
        <f t="shared" si="18"/>
        <v>0.51249999999999996</v>
      </c>
      <c r="M94" s="183"/>
      <c r="N94" s="183">
        <f t="shared" si="19"/>
        <v>1</v>
      </c>
      <c r="O94" s="183">
        <f t="shared" si="20"/>
        <v>1</v>
      </c>
      <c r="P94" s="90" t="s">
        <v>56</v>
      </c>
      <c r="Q94" s="91">
        <f t="shared" si="21"/>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2"/>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17"/>
        <v>0.51249999999999996</v>
      </c>
      <c r="K95" s="189">
        <f>SUMIFS(Table1[Horas efetivas],Table1[Tabela],Plano_V3!E95,Table1[Campo],Plano_V3!F95)</f>
        <v>4.0999999999999996</v>
      </c>
      <c r="L95" s="189">
        <f t="shared" si="18"/>
        <v>0.51249999999999996</v>
      </c>
      <c r="M95" s="183"/>
      <c r="N95" s="183">
        <f t="shared" si="19"/>
        <v>1</v>
      </c>
      <c r="O95" s="183">
        <f t="shared" si="20"/>
        <v>1</v>
      </c>
      <c r="P95" s="90" t="s">
        <v>56</v>
      </c>
      <c r="Q95" s="91">
        <f t="shared" si="21"/>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2"/>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17"/>
        <v>1</v>
      </c>
      <c r="K96" s="189">
        <f>SUMIFS(Table1[Horas efetivas],Table1[Tabela],Plano_V3!E96,Table1[Campo],Plano_V3!F96)</f>
        <v>8</v>
      </c>
      <c r="L96" s="189">
        <f t="shared" si="18"/>
        <v>1</v>
      </c>
      <c r="M96" s="183"/>
      <c r="N96" s="183">
        <f t="shared" si="19"/>
        <v>1</v>
      </c>
      <c r="O96" s="183">
        <f t="shared" si="20"/>
        <v>1</v>
      </c>
      <c r="P96" s="88" t="s">
        <v>95</v>
      </c>
      <c r="Q96" s="91">
        <f t="shared" si="21"/>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2"/>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17"/>
        <v>0</v>
      </c>
      <c r="K97" s="189">
        <f>SUMIFS(Table1[Horas efetivas],Table1[Tabela],Plano_V3!E97,Table1[Campo],Plano_V3!F97)</f>
        <v>4</v>
      </c>
      <c r="L97" s="189">
        <f t="shared" si="18"/>
        <v>0.5</v>
      </c>
      <c r="M97" s="183"/>
      <c r="N97" s="183" t="e">
        <f t="shared" si="19"/>
        <v>#DIV/0!</v>
      </c>
      <c r="O97" s="183" t="e">
        <f t="shared" si="20"/>
        <v>#DIV/0!</v>
      </c>
      <c r="P97" s="88" t="s">
        <v>95</v>
      </c>
      <c r="Q97" s="91">
        <f t="shared" si="21"/>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2"/>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17"/>
        <v>1.0125</v>
      </c>
      <c r="K98" s="189">
        <f>SUMIFS(Table1[Horas efetivas],Table1[Tabela],Plano_V3!E98,Table1[Campo],Plano_V3!F98)</f>
        <v>8.1</v>
      </c>
      <c r="L98" s="189">
        <f t="shared" si="18"/>
        <v>1.0125</v>
      </c>
      <c r="M98" s="183"/>
      <c r="N98" s="183">
        <f t="shared" si="19"/>
        <v>1</v>
      </c>
      <c r="O98" s="183">
        <f t="shared" si="20"/>
        <v>1</v>
      </c>
      <c r="P98" s="88" t="s">
        <v>95</v>
      </c>
      <c r="Q98" s="91">
        <f t="shared" si="21"/>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2"/>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17"/>
        <v>0.51249999999999996</v>
      </c>
      <c r="K99" s="189">
        <f>SUMIFS(Table1[Horas efetivas],Table1[Tabela],Plano_V3!E99,Table1[Campo],Plano_V3!F99)</f>
        <v>4.0999999999999996</v>
      </c>
      <c r="L99" s="189">
        <f t="shared" si="18"/>
        <v>0.51249999999999996</v>
      </c>
      <c r="M99" s="183"/>
      <c r="N99" s="183">
        <f t="shared" si="19"/>
        <v>1</v>
      </c>
      <c r="O99" s="183">
        <f t="shared" si="20"/>
        <v>1</v>
      </c>
      <c r="P99" s="88" t="s">
        <v>95</v>
      </c>
      <c r="Q99" s="91">
        <f t="shared" si="21"/>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2"/>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17"/>
        <v>0.51249999999999996</v>
      </c>
      <c r="K100" s="189">
        <f>SUMIFS(Table1[Horas efetivas],Table1[Tabela],Plano_V3!E100,Table1[Campo],Plano_V3!F100)</f>
        <v>4.0999999999999996</v>
      </c>
      <c r="L100" s="189">
        <f t="shared" si="18"/>
        <v>0.51249999999999996</v>
      </c>
      <c r="M100" s="183"/>
      <c r="N100" s="183">
        <f t="shared" si="19"/>
        <v>1</v>
      </c>
      <c r="O100" s="183">
        <f t="shared" si="20"/>
        <v>1</v>
      </c>
      <c r="P100" s="88" t="s">
        <v>95</v>
      </c>
      <c r="Q100" s="91">
        <f t="shared" si="21"/>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2"/>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17"/>
        <v>0.51249999999999996</v>
      </c>
      <c r="K101" s="189">
        <f>SUMIFS(Table1[Horas efetivas],Table1[Tabela],Plano_V3!E101,Table1[Campo],Plano_V3!F101)</f>
        <v>4.0999999999999996</v>
      </c>
      <c r="L101" s="189">
        <f t="shared" si="18"/>
        <v>0.51249999999999996</v>
      </c>
      <c r="M101" s="183"/>
      <c r="N101" s="183">
        <f t="shared" si="19"/>
        <v>1</v>
      </c>
      <c r="O101" s="183">
        <f t="shared" si="20"/>
        <v>1</v>
      </c>
      <c r="P101" s="88" t="s">
        <v>95</v>
      </c>
      <c r="Q101" s="91">
        <f t="shared" si="21"/>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2"/>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17"/>
        <v>0.51249999999999996</v>
      </c>
      <c r="K102" s="189">
        <f>SUMIFS(Table1[Horas efetivas],Table1[Tabela],Plano_V3!E102,Table1[Campo],Plano_V3!F102)</f>
        <v>4.0999999999999996</v>
      </c>
      <c r="L102" s="189">
        <f t="shared" si="18"/>
        <v>0.51249999999999996</v>
      </c>
      <c r="M102" s="183"/>
      <c r="N102" s="183">
        <f t="shared" si="19"/>
        <v>1</v>
      </c>
      <c r="O102" s="183">
        <f t="shared" si="20"/>
        <v>1</v>
      </c>
      <c r="P102" s="88" t="s">
        <v>95</v>
      </c>
      <c r="Q102" s="91">
        <f t="shared" si="21"/>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2"/>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17"/>
        <v>0.51249999999999996</v>
      </c>
      <c r="K103" s="189">
        <f>SUMIFS(Table1[Horas efetivas],Table1[Tabela],Plano_V3!E103,Table1[Campo],Plano_V3!F103)</f>
        <v>4.0999999999999996</v>
      </c>
      <c r="L103" s="189">
        <f t="shared" si="18"/>
        <v>0.51249999999999996</v>
      </c>
      <c r="M103" s="183"/>
      <c r="N103" s="183">
        <f t="shared" si="19"/>
        <v>1</v>
      </c>
      <c r="O103" s="183">
        <f t="shared" si="20"/>
        <v>1</v>
      </c>
      <c r="P103" s="88" t="s">
        <v>95</v>
      </c>
      <c r="Q103" s="91">
        <f t="shared" si="21"/>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2"/>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17"/>
        <v>0.51249999999999996</v>
      </c>
      <c r="K104" s="189">
        <f>SUMIFS(Table1[Horas efetivas],Table1[Tabela],Plano_V3!E104,Table1[Campo],Plano_V3!F104)</f>
        <v>4.0999999999999996</v>
      </c>
      <c r="L104" s="189">
        <f t="shared" si="18"/>
        <v>0.51249999999999996</v>
      </c>
      <c r="M104" s="183"/>
      <c r="N104" s="183">
        <f t="shared" si="19"/>
        <v>1</v>
      </c>
      <c r="O104" s="183">
        <f t="shared" si="20"/>
        <v>1</v>
      </c>
      <c r="P104" s="88" t="s">
        <v>95</v>
      </c>
      <c r="Q104" s="91">
        <f t="shared" si="21"/>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2"/>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3">I105/8</f>
        <v>0</v>
      </c>
      <c r="K105" s="189">
        <f>SUMIFS(Table1[Horas efetivas],Table1[Tabela],Plano_V3!E105,Table1[Campo],Plano_V3!F105)</f>
        <v>0</v>
      </c>
      <c r="L105" s="189">
        <f t="shared" ref="L105:L169" si="24">K105/8</f>
        <v>0</v>
      </c>
      <c r="M105" s="183"/>
      <c r="N105" s="183" t="e">
        <f t="shared" ref="N105:N169" si="25">L105/J105</f>
        <v>#DIV/0!</v>
      </c>
      <c r="O105" s="183" t="e">
        <f t="shared" si="20"/>
        <v>#DIV/0!</v>
      </c>
      <c r="P105" s="88" t="s">
        <v>95</v>
      </c>
      <c r="Q105" s="91">
        <f t="shared" si="21"/>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2"/>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3"/>
        <v>0.51249999999999996</v>
      </c>
      <c r="K106" s="189">
        <f>SUMIFS(Table1[Horas efetivas],Table1[Tabela],Plano_V3!E106,Table1[Campo],Plano_V3!F106)</f>
        <v>4.0999999999999996</v>
      </c>
      <c r="L106" s="189">
        <f t="shared" si="24"/>
        <v>0.51249999999999996</v>
      </c>
      <c r="M106" s="183"/>
      <c r="N106" s="183">
        <f t="shared" si="25"/>
        <v>1</v>
      </c>
      <c r="O106" s="183">
        <f t="shared" si="20"/>
        <v>1</v>
      </c>
      <c r="P106" s="88" t="s">
        <v>95</v>
      </c>
      <c r="Q106" s="91">
        <f t="shared" si="21"/>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2"/>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3"/>
        <v>0.51249999999999996</v>
      </c>
      <c r="K107" s="189">
        <f>SUMIFS(Table1[Horas efetivas],Table1[Tabela],Plano_V3!E107,Table1[Campo],Plano_V3!F107)</f>
        <v>4.0999999999999996</v>
      </c>
      <c r="L107" s="189">
        <f t="shared" si="24"/>
        <v>0.51249999999999996</v>
      </c>
      <c r="M107" s="183"/>
      <c r="N107" s="183">
        <f t="shared" si="25"/>
        <v>1</v>
      </c>
      <c r="O107" s="183">
        <f t="shared" si="20"/>
        <v>1</v>
      </c>
      <c r="P107" s="88" t="s">
        <v>95</v>
      </c>
      <c r="Q107" s="91">
        <f t="shared" si="21"/>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2"/>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3"/>
        <v>0.51249999999999996</v>
      </c>
      <c r="K108" s="189">
        <f>SUMIFS(Table1[Horas efetivas],Table1[Tabela],Plano_V3!E108,Table1[Campo],Plano_V3!F108)</f>
        <v>4.0999999999999996</v>
      </c>
      <c r="L108" s="189">
        <f t="shared" si="24"/>
        <v>0.51249999999999996</v>
      </c>
      <c r="M108" s="183"/>
      <c r="N108" s="183">
        <f t="shared" si="25"/>
        <v>1</v>
      </c>
      <c r="O108" s="183">
        <f t="shared" si="20"/>
        <v>1</v>
      </c>
      <c r="P108" s="88" t="s">
        <v>95</v>
      </c>
      <c r="Q108" s="91">
        <f t="shared" si="21"/>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2"/>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3"/>
        <v>0.51249999999999996</v>
      </c>
      <c r="K109" s="189">
        <f>SUMIFS(Table1[Horas efetivas],Table1[Tabela],Plano_V3!E109,Table1[Campo],Plano_V3!F109)</f>
        <v>4.0999999999999996</v>
      </c>
      <c r="L109" s="189">
        <f t="shared" si="24"/>
        <v>0.51249999999999996</v>
      </c>
      <c r="M109" s="183"/>
      <c r="N109" s="183">
        <f t="shared" si="25"/>
        <v>1</v>
      </c>
      <c r="O109" s="183">
        <f t="shared" si="20"/>
        <v>1</v>
      </c>
      <c r="P109" s="88" t="s">
        <v>95</v>
      </c>
      <c r="Q109" s="91">
        <f t="shared" si="21"/>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2"/>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3"/>
        <v>0.51249999999999996</v>
      </c>
      <c r="K110" s="189">
        <f>SUMIFS(Table1[Horas efetivas],Table1[Tabela],Plano_V3!E110,Table1[Campo],Plano_V3!F110)</f>
        <v>4.0999999999999996</v>
      </c>
      <c r="L110" s="189">
        <f t="shared" si="24"/>
        <v>0.51249999999999996</v>
      </c>
      <c r="M110" s="183"/>
      <c r="N110" s="183">
        <f t="shared" si="25"/>
        <v>1</v>
      </c>
      <c r="O110" s="183">
        <f t="shared" si="20"/>
        <v>1</v>
      </c>
      <c r="P110" s="88" t="s">
        <v>95</v>
      </c>
      <c r="Q110" s="91">
        <f t="shared" si="21"/>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2"/>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3"/>
        <v>0.51249999999999996</v>
      </c>
      <c r="K111" s="189">
        <f>SUMIFS(Table1[Horas efetivas],Table1[Tabela],Plano_V3!E111,Table1[Campo],Plano_V3!F111)</f>
        <v>4.0999999999999996</v>
      </c>
      <c r="L111" s="189">
        <f t="shared" si="24"/>
        <v>0.51249999999999996</v>
      </c>
      <c r="M111" s="183"/>
      <c r="N111" s="183">
        <f t="shared" si="25"/>
        <v>1</v>
      </c>
      <c r="O111" s="183">
        <f t="shared" si="20"/>
        <v>1</v>
      </c>
      <c r="P111" s="88" t="s">
        <v>95</v>
      </c>
      <c r="Q111" s="91">
        <f t="shared" si="21"/>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2"/>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3"/>
        <v>0.51249999999999996</v>
      </c>
      <c r="K112" s="189">
        <f>SUMIFS(Table1[Horas efetivas],Table1[Tabela],Plano_V3!E112,Table1[Campo],Plano_V3!F112)</f>
        <v>4.0999999999999996</v>
      </c>
      <c r="L112" s="189">
        <f t="shared" si="24"/>
        <v>0.51249999999999996</v>
      </c>
      <c r="M112" s="183"/>
      <c r="N112" s="183">
        <f t="shared" si="25"/>
        <v>1</v>
      </c>
      <c r="O112" s="183">
        <f t="shared" si="20"/>
        <v>1</v>
      </c>
      <c r="P112" s="88" t="s">
        <v>95</v>
      </c>
      <c r="Q112" s="91">
        <f t="shared" si="21"/>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2"/>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3"/>
        <v>0.51249999999999996</v>
      </c>
      <c r="K113" s="189">
        <f>SUMIFS(Table1[Horas efetivas],Table1[Tabela],Plano_V3!E113,Table1[Campo],Plano_V3!F113)</f>
        <v>4.0999999999999996</v>
      </c>
      <c r="L113" s="189">
        <f t="shared" si="24"/>
        <v>0.51249999999999996</v>
      </c>
      <c r="M113" s="183"/>
      <c r="N113" s="183">
        <f t="shared" si="25"/>
        <v>1</v>
      </c>
      <c r="O113" s="183">
        <f t="shared" si="20"/>
        <v>1</v>
      </c>
      <c r="P113" s="88" t="s">
        <v>95</v>
      </c>
      <c r="Q113" s="91">
        <f t="shared" si="21"/>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2"/>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3"/>
        <v>0.51249999999999996</v>
      </c>
      <c r="K114" s="189">
        <f>SUMIFS(Table1[Horas efetivas],Table1[Tabela],Plano_V3!E114,Table1[Campo],Plano_V3!F114)</f>
        <v>4.0999999999999996</v>
      </c>
      <c r="L114" s="189">
        <f t="shared" si="24"/>
        <v>0.51249999999999996</v>
      </c>
      <c r="M114" s="183"/>
      <c r="N114" s="183">
        <f t="shared" si="25"/>
        <v>1</v>
      </c>
      <c r="O114" s="183">
        <f t="shared" si="20"/>
        <v>1</v>
      </c>
      <c r="P114" s="88" t="s">
        <v>95</v>
      </c>
      <c r="Q114" s="91">
        <f t="shared" si="21"/>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2"/>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3"/>
        <v>0.51249999999999996</v>
      </c>
      <c r="K115" s="189">
        <f>SUMIFS(Table1[Horas efetivas],Table1[Tabela],Plano_V3!E115,Table1[Campo],Plano_V3!F115)</f>
        <v>4.0999999999999996</v>
      </c>
      <c r="L115" s="189">
        <f t="shared" si="24"/>
        <v>0.51249999999999996</v>
      </c>
      <c r="M115" s="183"/>
      <c r="N115" s="183">
        <f t="shared" si="25"/>
        <v>1</v>
      </c>
      <c r="O115" s="183">
        <f t="shared" si="20"/>
        <v>1</v>
      </c>
      <c r="P115" s="88" t="s">
        <v>95</v>
      </c>
      <c r="Q115" s="91">
        <f t="shared" si="21"/>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2"/>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3"/>
        <v>0.51249999999999996</v>
      </c>
      <c r="K116" s="189">
        <f>SUMIFS(Table1[Horas efetivas],Table1[Tabela],Plano_V3!E116,Table1[Campo],Plano_V3!F116)</f>
        <v>4.0999999999999996</v>
      </c>
      <c r="L116" s="189">
        <f t="shared" si="24"/>
        <v>0.51249999999999996</v>
      </c>
      <c r="M116" s="183"/>
      <c r="N116" s="183">
        <f t="shared" si="25"/>
        <v>1</v>
      </c>
      <c r="O116" s="183">
        <f t="shared" si="20"/>
        <v>1</v>
      </c>
      <c r="P116" s="88" t="s">
        <v>95</v>
      </c>
      <c r="Q116" s="91">
        <f t="shared" si="21"/>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2"/>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3"/>
        <v>0.51249999999999996</v>
      </c>
      <c r="K117" s="189">
        <f>SUMIFS(Table1[Horas efetivas],Table1[Tabela],Plano_V3!E117,Table1[Campo],Plano_V3!F117)</f>
        <v>4.0999999999999996</v>
      </c>
      <c r="L117" s="189">
        <f t="shared" si="24"/>
        <v>0.51249999999999996</v>
      </c>
      <c r="M117" s="183"/>
      <c r="N117" s="183">
        <f t="shared" si="25"/>
        <v>1</v>
      </c>
      <c r="O117" s="183">
        <f t="shared" si="20"/>
        <v>1</v>
      </c>
      <c r="P117" s="88" t="s">
        <v>95</v>
      </c>
      <c r="Q117" s="91">
        <f t="shared" si="21"/>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2"/>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3"/>
        <v>0.51249999999999996</v>
      </c>
      <c r="K118" s="189">
        <f>SUMIFS(Table1[Horas efetivas],Table1[Tabela],Plano_V3!E118,Table1[Campo],Plano_V3!F118)</f>
        <v>4.0999999999999996</v>
      </c>
      <c r="L118" s="189">
        <f t="shared" si="24"/>
        <v>0.51249999999999996</v>
      </c>
      <c r="M118" s="183"/>
      <c r="N118" s="183">
        <f t="shared" si="25"/>
        <v>1</v>
      </c>
      <c r="O118" s="183">
        <f t="shared" si="20"/>
        <v>1</v>
      </c>
      <c r="P118" s="88" t="s">
        <v>95</v>
      </c>
      <c r="Q118" s="91">
        <f t="shared" si="21"/>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2"/>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3"/>
        <v>0.51249999999999996</v>
      </c>
      <c r="K119" s="189">
        <f>SUMIFS(Table1[Horas efetivas],Table1[Tabela],Plano_V3!E119,Table1[Campo],Plano_V3!F119)</f>
        <v>4.0999999999999996</v>
      </c>
      <c r="L119" s="189">
        <f t="shared" si="24"/>
        <v>0.51249999999999996</v>
      </c>
      <c r="M119" s="183"/>
      <c r="N119" s="183">
        <f t="shared" si="25"/>
        <v>1</v>
      </c>
      <c r="O119" s="183">
        <f t="shared" si="20"/>
        <v>1</v>
      </c>
      <c r="P119" s="88" t="s">
        <v>95</v>
      </c>
      <c r="Q119" s="91">
        <f t="shared" si="21"/>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2"/>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3"/>
        <v>0.51249999999999996</v>
      </c>
      <c r="K120" s="189">
        <f>SUMIFS(Table1[Horas efetivas],Table1[Tabela],Plano_V3!E120,Table1[Campo],Plano_V3!F120)</f>
        <v>4.0999999999999996</v>
      </c>
      <c r="L120" s="189">
        <f t="shared" si="24"/>
        <v>0.51249999999999996</v>
      </c>
      <c r="M120" s="183"/>
      <c r="N120" s="183">
        <f t="shared" si="25"/>
        <v>1</v>
      </c>
      <c r="O120" s="183">
        <f t="shared" si="20"/>
        <v>1</v>
      </c>
      <c r="P120" s="88" t="s">
        <v>95</v>
      </c>
      <c r="Q120" s="91">
        <f t="shared" si="21"/>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2"/>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3"/>
        <v>0.51249999999999996</v>
      </c>
      <c r="K121" s="189">
        <f>SUMIFS(Table1[Horas efetivas],Table1[Tabela],Plano_V3!E121,Table1[Campo],Plano_V3!F121)</f>
        <v>4.0999999999999996</v>
      </c>
      <c r="L121" s="189">
        <f t="shared" si="24"/>
        <v>0.51249999999999996</v>
      </c>
      <c r="M121" s="183"/>
      <c r="N121" s="183">
        <f t="shared" si="25"/>
        <v>1</v>
      </c>
      <c r="O121" s="183">
        <f t="shared" si="20"/>
        <v>1</v>
      </c>
      <c r="P121" s="88" t="s">
        <v>95</v>
      </c>
      <c r="Q121" s="91">
        <f t="shared" si="21"/>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2"/>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3"/>
        <v>0.51249999999999996</v>
      </c>
      <c r="K122" s="189">
        <f>SUMIFS(Table1[Horas efetivas],Table1[Tabela],Plano_V3!E122,Table1[Campo],Plano_V3!F122)</f>
        <v>4.0999999999999996</v>
      </c>
      <c r="L122" s="189">
        <f t="shared" si="24"/>
        <v>0.51249999999999996</v>
      </c>
      <c r="M122" s="183"/>
      <c r="N122" s="183">
        <f t="shared" si="25"/>
        <v>1</v>
      </c>
      <c r="O122" s="183">
        <f t="shared" si="20"/>
        <v>1</v>
      </c>
      <c r="P122" s="88" t="s">
        <v>95</v>
      </c>
      <c r="Q122" s="91">
        <f t="shared" si="21"/>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2"/>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3"/>
        <v>0.51249999999999996</v>
      </c>
      <c r="K123" s="189">
        <f>SUMIFS(Table1[Horas efetivas],Table1[Tabela],Plano_V3!E123,Table1[Campo],Plano_V3!F123)</f>
        <v>4.0999999999999996</v>
      </c>
      <c r="L123" s="189">
        <f t="shared" si="24"/>
        <v>0.51249999999999996</v>
      </c>
      <c r="M123" s="183"/>
      <c r="N123" s="183">
        <f t="shared" si="25"/>
        <v>1</v>
      </c>
      <c r="O123" s="183">
        <f t="shared" si="20"/>
        <v>1</v>
      </c>
      <c r="P123" s="88" t="s">
        <v>95</v>
      </c>
      <c r="Q123" s="91">
        <f t="shared" si="21"/>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2"/>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3"/>
        <v>0.51249999999999996</v>
      </c>
      <c r="K124" s="189">
        <f>SUMIFS(Table1[Horas efetivas],Table1[Tabela],Plano_V3!E124,Table1[Campo],Plano_V3!F124)</f>
        <v>0</v>
      </c>
      <c r="L124" s="189">
        <f t="shared" si="24"/>
        <v>0</v>
      </c>
      <c r="M124" s="183"/>
      <c r="N124" s="183">
        <f t="shared" si="25"/>
        <v>0</v>
      </c>
      <c r="O124" s="183">
        <f t="shared" si="20"/>
        <v>0</v>
      </c>
      <c r="P124" s="88" t="s">
        <v>95</v>
      </c>
      <c r="Q124" s="91">
        <f t="shared" si="21"/>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2"/>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3"/>
        <v>1.0125</v>
      </c>
      <c r="K125" s="189">
        <f>SUMIFS(Table1[Horas efetivas],Table1[Tabela],Plano_V3!E125,Table1[Campo],Plano_V3!F125)</f>
        <v>8.1</v>
      </c>
      <c r="L125" s="189">
        <f t="shared" si="24"/>
        <v>1.0125</v>
      </c>
      <c r="M125" s="183"/>
      <c r="N125" s="183">
        <f t="shared" si="25"/>
        <v>1</v>
      </c>
      <c r="O125" s="183">
        <f t="shared" si="20"/>
        <v>1</v>
      </c>
      <c r="P125" s="88" t="s">
        <v>95</v>
      </c>
      <c r="Q125" s="91">
        <f t="shared" si="21"/>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2"/>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3"/>
        <v>1.0125</v>
      </c>
      <c r="K126" s="189">
        <f>SUMIFS(Table1[Horas efetivas],Table1[Tabela],Plano_V3!E126,Table1[Campo],Plano_V3!F126)</f>
        <v>8.1</v>
      </c>
      <c r="L126" s="189">
        <f t="shared" si="24"/>
        <v>1.0125</v>
      </c>
      <c r="M126" s="183"/>
      <c r="N126" s="183">
        <f t="shared" si="25"/>
        <v>1</v>
      </c>
      <c r="O126" s="183">
        <f t="shared" si="20"/>
        <v>1</v>
      </c>
      <c r="P126" s="88" t="s">
        <v>95</v>
      </c>
      <c r="Q126" s="91">
        <f t="shared" si="21"/>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2"/>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3"/>
        <v>0.51249999999999996</v>
      </c>
      <c r="K127" s="189">
        <f>SUMIFS(Table1[Horas efetivas],Table1[Tabela],Plano_V3!E127,Table1[Campo],Plano_V3!F127)</f>
        <v>4.0999999999999996</v>
      </c>
      <c r="L127" s="189">
        <f t="shared" si="24"/>
        <v>0.51249999999999996</v>
      </c>
      <c r="M127" s="183"/>
      <c r="N127" s="183">
        <f t="shared" si="25"/>
        <v>1</v>
      </c>
      <c r="O127" s="183">
        <f t="shared" si="20"/>
        <v>1</v>
      </c>
      <c r="P127" s="88" t="s">
        <v>95</v>
      </c>
      <c r="Q127" s="91">
        <f t="shared" si="21"/>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2"/>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3"/>
        <v>0.51249999999999996</v>
      </c>
      <c r="K128" s="189">
        <f>SUMIFS(Table1[Horas efetivas],Table1[Tabela],Plano_V3!E128,Table1[Campo],Plano_V3!F128)</f>
        <v>4.0999999999999996</v>
      </c>
      <c r="L128" s="189">
        <f t="shared" si="24"/>
        <v>0.51249999999999996</v>
      </c>
      <c r="M128" s="183"/>
      <c r="N128" s="183">
        <f t="shared" si="25"/>
        <v>1</v>
      </c>
      <c r="O128" s="183">
        <f t="shared" si="20"/>
        <v>1</v>
      </c>
      <c r="P128" s="88" t="s">
        <v>95</v>
      </c>
      <c r="Q128" s="91">
        <f t="shared" si="21"/>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2"/>
        <v>PROPERTYCGARANT_BEM</v>
      </c>
      <c r="B129" s="68"/>
      <c r="C129" s="69"/>
      <c r="D129" s="65" t="s">
        <v>40</v>
      </c>
      <c r="E129" s="67" t="s">
        <v>94</v>
      </c>
      <c r="F129" s="67" t="s">
        <v>1936</v>
      </c>
      <c r="G129" s="65" t="str">
        <f>INDEX(Auxiliar!$B$16:$B$24,MATCH(Plano_V3!H129,Auxiliar!$C$16:$C$24,0),1)</f>
        <v>1. Concluído</v>
      </c>
      <c r="H129" s="65">
        <f>VLOOKUP(A129,'Aux - pivots1'!$A:$B,2,0)</f>
        <v>1</v>
      </c>
      <c r="I129" s="189">
        <f>SUMIFS(Table1[Estimação (horas)],Table1[Tabela],Plano_V3!E129,Table1[Campo],Plano_V3!F129)</f>
        <v>4.0999999999999996</v>
      </c>
      <c r="J129" s="189">
        <f>I129/8</f>
        <v>0.51249999999999996</v>
      </c>
      <c r="K129" s="189">
        <f>SUMIFS(Table1[Horas efetivas],Table1[Tabela],Plano_V3!E129,Table1[Campo],Plano_V3!F129)</f>
        <v>4.0999999999999996</v>
      </c>
      <c r="L129" s="189">
        <f>K129/8</f>
        <v>0.51249999999999996</v>
      </c>
      <c r="M129" s="183"/>
      <c r="N129" s="183">
        <f t="shared" si="25"/>
        <v>1</v>
      </c>
      <c r="O129" s="183">
        <f t="shared" si="20"/>
        <v>1</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2"/>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3"/>
        <v>1</v>
      </c>
      <c r="K130" s="189">
        <f>SUMIFS(Table1[Horas efetivas],Table1[Tabela],Plano_V3!E130,Table1[Campo],Plano_V3!F130)</f>
        <v>8</v>
      </c>
      <c r="L130" s="189">
        <f t="shared" si="24"/>
        <v>1</v>
      </c>
      <c r="M130" s="183"/>
      <c r="N130" s="183">
        <f t="shared" si="25"/>
        <v>1</v>
      </c>
      <c r="O130" s="183">
        <f t="shared" si="20"/>
        <v>1</v>
      </c>
      <c r="P130" s="88" t="s">
        <v>124</v>
      </c>
      <c r="Q130" s="91">
        <f t="shared" si="21"/>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2"/>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3"/>
        <v>0.51249999999999996</v>
      </c>
      <c r="K131" s="189">
        <f>SUMIFS(Table1[Horas efetivas],Table1[Tabela],Plano_V3!E131,Table1[Campo],Plano_V3!F131)</f>
        <v>4.0999999999999996</v>
      </c>
      <c r="L131" s="189">
        <f t="shared" si="24"/>
        <v>0.51249999999999996</v>
      </c>
      <c r="M131" s="183"/>
      <c r="N131" s="183">
        <f t="shared" si="25"/>
        <v>1</v>
      </c>
      <c r="O131" s="183">
        <f t="shared" si="20"/>
        <v>1</v>
      </c>
      <c r="P131" s="88" t="s">
        <v>124</v>
      </c>
      <c r="Q131" s="91">
        <f t="shared" si="21"/>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2"/>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3"/>
        <v>0.51249999999999996</v>
      </c>
      <c r="K132" s="189">
        <f>SUMIFS(Table1[Horas efetivas],Table1[Tabela],Plano_V3!E132,Table1[Campo],Plano_V3!F132)</f>
        <v>4.0999999999999996</v>
      </c>
      <c r="L132" s="189">
        <f t="shared" si="24"/>
        <v>0.51249999999999996</v>
      </c>
      <c r="M132" s="183"/>
      <c r="N132" s="183">
        <f t="shared" si="25"/>
        <v>1</v>
      </c>
      <c r="O132" s="183">
        <f t="shared" si="20"/>
        <v>1</v>
      </c>
      <c r="P132" s="88" t="s">
        <v>124</v>
      </c>
      <c r="Q132" s="91">
        <f t="shared" si="21"/>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2"/>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3"/>
        <v>0.51249999999999996</v>
      </c>
      <c r="K133" s="189">
        <f>SUMIFS(Table1[Horas efetivas],Table1[Tabela],Plano_V3!E133,Table1[Campo],Plano_V3!F133)</f>
        <v>4.0999999999999996</v>
      </c>
      <c r="L133" s="189">
        <f t="shared" si="24"/>
        <v>0.51249999999999996</v>
      </c>
      <c r="M133" s="183"/>
      <c r="N133" s="183">
        <f t="shared" si="25"/>
        <v>1</v>
      </c>
      <c r="O133" s="183">
        <f t="shared" si="20"/>
        <v>1</v>
      </c>
      <c r="P133" s="88" t="s">
        <v>124</v>
      </c>
      <c r="Q133" s="91">
        <f t="shared" si="21"/>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2"/>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3"/>
        <v>0.51249999999999996</v>
      </c>
      <c r="K134" s="189">
        <f>SUMIFS(Table1[Horas efetivas],Table1[Tabela],Plano_V3!E134,Table1[Campo],Plano_V3!F134)</f>
        <v>4.0999999999999996</v>
      </c>
      <c r="L134" s="189">
        <f t="shared" si="24"/>
        <v>0.51249999999999996</v>
      </c>
      <c r="M134" s="183"/>
      <c r="N134" s="183">
        <f t="shared" si="25"/>
        <v>1</v>
      </c>
      <c r="O134" s="183">
        <f t="shared" si="20"/>
        <v>1</v>
      </c>
      <c r="P134" s="88" t="s">
        <v>124</v>
      </c>
      <c r="Q134" s="91">
        <f t="shared" si="21"/>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2"/>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3"/>
        <v>0.51249999999999996</v>
      </c>
      <c r="K135" s="189">
        <f>SUMIFS(Table1[Horas efetivas],Table1[Tabela],Plano_V3!E135,Table1[Campo],Plano_V3!F135)</f>
        <v>4.0999999999999996</v>
      </c>
      <c r="L135" s="189">
        <f t="shared" si="24"/>
        <v>0.51249999999999996</v>
      </c>
      <c r="M135" s="183"/>
      <c r="N135" s="183">
        <f t="shared" si="25"/>
        <v>1</v>
      </c>
      <c r="O135" s="183">
        <f t="shared" si="20"/>
        <v>1</v>
      </c>
      <c r="P135" s="88" t="s">
        <v>124</v>
      </c>
      <c r="Q135" s="91">
        <f t="shared" si="21"/>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2"/>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3"/>
        <v>0.51249999999999996</v>
      </c>
      <c r="K136" s="189">
        <f>SUMIFS(Table1[Horas efetivas],Table1[Tabela],Plano_V3!E136,Table1[Campo],Plano_V3!F136)</f>
        <v>4.0999999999999996</v>
      </c>
      <c r="L136" s="189">
        <f t="shared" si="24"/>
        <v>0.51249999999999996</v>
      </c>
      <c r="M136" s="183"/>
      <c r="N136" s="183">
        <f t="shared" si="25"/>
        <v>1</v>
      </c>
      <c r="O136" s="183">
        <f t="shared" si="20"/>
        <v>1</v>
      </c>
      <c r="P136" s="88" t="s">
        <v>124</v>
      </c>
      <c r="Q136" s="91">
        <f t="shared" si="21"/>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2"/>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3"/>
        <v>0.51249999999999996</v>
      </c>
      <c r="K137" s="189">
        <f>SUMIFS(Table1[Horas efetivas],Table1[Tabela],Plano_V3!E137,Table1[Campo],Plano_V3!F137)</f>
        <v>4.0999999999999996</v>
      </c>
      <c r="L137" s="189">
        <f t="shared" si="24"/>
        <v>0.51249999999999996</v>
      </c>
      <c r="M137" s="183"/>
      <c r="N137" s="183">
        <f t="shared" si="25"/>
        <v>1</v>
      </c>
      <c r="O137" s="183">
        <f t="shared" si="20"/>
        <v>1</v>
      </c>
      <c r="P137" s="88" t="s">
        <v>124</v>
      </c>
      <c r="Q137" s="91">
        <f t="shared" si="21"/>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2"/>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3"/>
        <v>0.51249999999999996</v>
      </c>
      <c r="K138" s="189">
        <f>SUMIFS(Table1[Horas efetivas],Table1[Tabela],Plano_V3!E138,Table1[Campo],Plano_V3!F138)</f>
        <v>4.0999999999999996</v>
      </c>
      <c r="L138" s="189">
        <f t="shared" si="24"/>
        <v>0.51249999999999996</v>
      </c>
      <c r="M138" s="183"/>
      <c r="N138" s="183">
        <f t="shared" si="25"/>
        <v>1</v>
      </c>
      <c r="O138" s="183">
        <f t="shared" si="20"/>
        <v>1</v>
      </c>
      <c r="P138" s="88" t="s">
        <v>124</v>
      </c>
      <c r="Q138" s="91">
        <f t="shared" si="21"/>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2"/>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3"/>
        <v>0.51249999999999996</v>
      </c>
      <c r="K139" s="189">
        <f>SUMIFS(Table1[Horas efetivas],Table1[Tabela],Plano_V3!E139,Table1[Campo],Plano_V3!F139)</f>
        <v>4.0999999999999996</v>
      </c>
      <c r="L139" s="189">
        <f t="shared" si="24"/>
        <v>0.51249999999999996</v>
      </c>
      <c r="M139" s="183"/>
      <c r="N139" s="183">
        <f t="shared" si="25"/>
        <v>1</v>
      </c>
      <c r="O139" s="183">
        <f t="shared" si="20"/>
        <v>1</v>
      </c>
      <c r="P139" s="88" t="s">
        <v>124</v>
      </c>
      <c r="Q139" s="91">
        <f t="shared" si="21"/>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2"/>
        <v>PROPERTY_ENERGY_CERTIFICATEEPC</v>
      </c>
      <c r="B140" s="68" t="s">
        <v>26</v>
      </c>
      <c r="C140" s="69" t="s">
        <v>54</v>
      </c>
      <c r="D140" s="65" t="s">
        <v>40</v>
      </c>
      <c r="E140" s="67" t="s">
        <v>123</v>
      </c>
      <c r="F140" s="67" t="s">
        <v>47</v>
      </c>
      <c r="G140" s="65" t="str">
        <f>INDEX(Auxiliar!$B$16:$B$24,MATCH(Plano_V3!H140,Auxiliar!$C$16:$C$24,0),1)</f>
        <v>1. Concluído</v>
      </c>
      <c r="H140" s="65">
        <f>VLOOKUP(A140,'Aux - pivots1'!$A:$B,2,0)</f>
        <v>1</v>
      </c>
      <c r="I140" s="189">
        <f>SUMIFS(Table1[Estimação (horas)],Table1[Tabela],Plano_V3!E140,Table1[Campo],Plano_V3!F140)</f>
        <v>4.0999999999999996</v>
      </c>
      <c r="J140" s="189">
        <f t="shared" si="23"/>
        <v>0.51249999999999996</v>
      </c>
      <c r="K140" s="189">
        <f>SUMIFS(Table1[Horas efetivas],Table1[Tabela],Plano_V3!E140,Table1[Campo],Plano_V3!F140)</f>
        <v>4.0999999999999996</v>
      </c>
      <c r="L140" s="189">
        <f t="shared" si="24"/>
        <v>0.51249999999999996</v>
      </c>
      <c r="M140" s="183"/>
      <c r="N140" s="183">
        <f t="shared" si="25"/>
        <v>1</v>
      </c>
      <c r="O140" s="183">
        <f t="shared" si="20"/>
        <v>1</v>
      </c>
      <c r="P140" s="88" t="s">
        <v>124</v>
      </c>
      <c r="Q140" s="91">
        <f t="shared" si="21"/>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2"/>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3"/>
        <v>0.51249999999999996</v>
      </c>
      <c r="K141" s="189">
        <f>SUMIFS(Table1[Horas efetivas],Table1[Tabela],Plano_V3!E141,Table1[Campo],Plano_V3!F141)</f>
        <v>4.0999999999999996</v>
      </c>
      <c r="L141" s="189">
        <f t="shared" si="24"/>
        <v>0.51249999999999996</v>
      </c>
      <c r="M141" s="183"/>
      <c r="N141" s="183">
        <f t="shared" si="25"/>
        <v>1</v>
      </c>
      <c r="O141" s="183">
        <f t="shared" si="20"/>
        <v>1</v>
      </c>
      <c r="P141" s="88" t="s">
        <v>124</v>
      </c>
      <c r="Q141" s="91">
        <f t="shared" si="21"/>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2"/>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3"/>
        <v>0.51249999999999996</v>
      </c>
      <c r="K142" s="189">
        <f>SUMIFS(Table1[Horas efetivas],Table1[Tabela],Plano_V3!E142,Table1[Campo],Plano_V3!F142)</f>
        <v>4.0999999999999996</v>
      </c>
      <c r="L142" s="189">
        <f t="shared" si="24"/>
        <v>0.51249999999999996</v>
      </c>
      <c r="M142" s="183"/>
      <c r="N142" s="183">
        <f t="shared" si="25"/>
        <v>1</v>
      </c>
      <c r="O142" s="183">
        <f t="shared" si="20"/>
        <v>1</v>
      </c>
      <c r="P142" s="88" t="s">
        <v>124</v>
      </c>
      <c r="Q142" s="91">
        <f t="shared" si="21"/>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2"/>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3"/>
        <v>0.51249999999999996</v>
      </c>
      <c r="K143" s="189">
        <f>SUMIFS(Table1[Horas efetivas],Table1[Tabela],Plano_V3!E143,Table1[Campo],Plano_V3!F143)</f>
        <v>4.0999999999999996</v>
      </c>
      <c r="L143" s="189">
        <f t="shared" si="24"/>
        <v>0.51249999999999996</v>
      </c>
      <c r="M143" s="183"/>
      <c r="N143" s="183">
        <f t="shared" si="25"/>
        <v>1</v>
      </c>
      <c r="O143" s="183">
        <f t="shared" si="20"/>
        <v>1</v>
      </c>
      <c r="P143" s="88" t="s">
        <v>124</v>
      </c>
      <c r="Q143" s="91">
        <f t="shared" si="21"/>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2"/>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3"/>
        <v>0.51249999999999996</v>
      </c>
      <c r="K144" s="189">
        <f>SUMIFS(Table1[Horas efetivas],Table1[Tabela],Plano_V3!E144,Table1[Campo],Plano_V3!F144)</f>
        <v>4.0999999999999996</v>
      </c>
      <c r="L144" s="189">
        <f t="shared" si="24"/>
        <v>0.51249999999999996</v>
      </c>
      <c r="M144" s="183"/>
      <c r="N144" s="183">
        <f t="shared" si="25"/>
        <v>1</v>
      </c>
      <c r="O144" s="183">
        <f t="shared" si="20"/>
        <v>1</v>
      </c>
      <c r="P144" s="88" t="s">
        <v>124</v>
      </c>
      <c r="Q144" s="91">
        <f t="shared" si="21"/>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2"/>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3"/>
        <v>0.51249999999999996</v>
      </c>
      <c r="K145" s="189">
        <f>SUMIFS(Table1[Horas efetivas],Table1[Tabela],Plano_V3!E145,Table1[Campo],Plano_V3!F145)</f>
        <v>4.0999999999999996</v>
      </c>
      <c r="L145" s="189">
        <f t="shared" si="24"/>
        <v>0.51249999999999996</v>
      </c>
      <c r="M145" s="183"/>
      <c r="N145" s="183">
        <f t="shared" si="25"/>
        <v>1</v>
      </c>
      <c r="O145" s="183">
        <f t="shared" si="20"/>
        <v>1</v>
      </c>
      <c r="P145" s="88" t="s">
        <v>124</v>
      </c>
      <c r="Q145" s="91">
        <f t="shared" si="21"/>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2"/>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3"/>
        <v>0.51249999999999996</v>
      </c>
      <c r="K146" s="189">
        <f>SUMIFS(Table1[Horas efetivas],Table1[Tabela],Plano_V3!E146,Table1[Campo],Plano_V3!F146)</f>
        <v>4.0999999999999996</v>
      </c>
      <c r="L146" s="189">
        <f t="shared" si="24"/>
        <v>0.51249999999999996</v>
      </c>
      <c r="M146" s="183"/>
      <c r="N146" s="183">
        <f t="shared" si="25"/>
        <v>1</v>
      </c>
      <c r="O146" s="183">
        <f t="shared" si="20"/>
        <v>1</v>
      </c>
      <c r="P146" s="88" t="s">
        <v>124</v>
      </c>
      <c r="Q146" s="91">
        <f t="shared" si="21"/>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2"/>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89">
        <f>SUMIFS(Table1[Estimação (horas)],Table1[Tabela],Plano_V3!E147,Table1[Campo],Plano_V3!F147)</f>
        <v>4.0999999999999996</v>
      </c>
      <c r="J147" s="189">
        <f t="shared" si="23"/>
        <v>0.51249999999999996</v>
      </c>
      <c r="K147" s="189">
        <f>SUMIFS(Table1[Horas efetivas],Table1[Tabela],Plano_V3!E147,Table1[Campo],Plano_V3!F147)</f>
        <v>4.0999999999999996</v>
      </c>
      <c r="L147" s="189">
        <f t="shared" si="24"/>
        <v>0.51249999999999996</v>
      </c>
      <c r="M147" s="183"/>
      <c r="N147" s="183">
        <f t="shared" si="25"/>
        <v>1</v>
      </c>
      <c r="O147" s="183">
        <f t="shared" si="20"/>
        <v>1</v>
      </c>
      <c r="P147" s="88" t="s">
        <v>124</v>
      </c>
      <c r="Q147" s="91">
        <f t="shared" si="21"/>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2"/>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3"/>
        <v>0.51249999999999996</v>
      </c>
      <c r="K148" s="189">
        <f>SUMIFS(Table1[Horas efetivas],Table1[Tabela],Plano_V3!E148,Table1[Campo],Plano_V3!F148)</f>
        <v>4.0999999999999996</v>
      </c>
      <c r="L148" s="189">
        <f t="shared" si="24"/>
        <v>0.51249999999999996</v>
      </c>
      <c r="M148" s="183"/>
      <c r="N148" s="183">
        <f t="shared" si="25"/>
        <v>1</v>
      </c>
      <c r="O148" s="183">
        <f t="shared" si="20"/>
        <v>1</v>
      </c>
      <c r="P148" s="88" t="s">
        <v>124</v>
      </c>
      <c r="Q148" s="91">
        <f t="shared" si="21"/>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2"/>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3"/>
        <v>0.51249999999999996</v>
      </c>
      <c r="K149" s="189">
        <f>SUMIFS(Table1[Horas efetivas],Table1[Tabela],Plano_V3!E149,Table1[Campo],Plano_V3!F149)</f>
        <v>4.0999999999999996</v>
      </c>
      <c r="L149" s="189">
        <f t="shared" si="24"/>
        <v>0.51249999999999996</v>
      </c>
      <c r="M149" s="183"/>
      <c r="N149" s="183">
        <f t="shared" si="25"/>
        <v>1</v>
      </c>
      <c r="O149" s="183">
        <f t="shared" si="20"/>
        <v>1</v>
      </c>
      <c r="P149" s="88" t="s">
        <v>124</v>
      </c>
      <c r="Q149" s="91">
        <f t="shared" si="21"/>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2"/>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3"/>
        <v>0.51249999999999996</v>
      </c>
      <c r="K150" s="189">
        <f>SUMIFS(Table1[Horas efetivas],Table1[Tabela],Plano_V3!E150,Table1[Campo],Plano_V3!F150)</f>
        <v>4.0999999999999996</v>
      </c>
      <c r="L150" s="189">
        <f t="shared" si="24"/>
        <v>0.51249999999999996</v>
      </c>
      <c r="M150" s="183"/>
      <c r="N150" s="183">
        <f t="shared" si="25"/>
        <v>1</v>
      </c>
      <c r="O150" s="183">
        <f t="shared" si="20"/>
        <v>1</v>
      </c>
      <c r="P150" s="88" t="s">
        <v>124</v>
      </c>
      <c r="Q150" s="91">
        <f t="shared" si="21"/>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2"/>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3"/>
        <v>0.51249999999999996</v>
      </c>
      <c r="K151" s="189">
        <f>SUMIFS(Table1[Horas efetivas],Table1[Tabela],Plano_V3!E151,Table1[Campo],Plano_V3!F151)</f>
        <v>4.0999999999999996</v>
      </c>
      <c r="L151" s="189">
        <f t="shared" si="24"/>
        <v>0.51249999999999996</v>
      </c>
      <c r="M151" s="183"/>
      <c r="N151" s="183">
        <f t="shared" si="25"/>
        <v>1</v>
      </c>
      <c r="O151" s="183">
        <f t="shared" si="20"/>
        <v>1</v>
      </c>
      <c r="P151" s="88" t="s">
        <v>124</v>
      </c>
      <c r="Q151" s="91">
        <f t="shared" si="21"/>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2"/>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3"/>
        <v>0.51249999999999996</v>
      </c>
      <c r="K152" s="189">
        <f>SUMIFS(Table1[Horas efetivas],Table1[Tabela],Plano_V3!E152,Table1[Campo],Plano_V3!F152)</f>
        <v>4.0999999999999996</v>
      </c>
      <c r="L152" s="189">
        <f t="shared" si="24"/>
        <v>0.51249999999999996</v>
      </c>
      <c r="M152" s="183"/>
      <c r="N152" s="183">
        <f t="shared" si="25"/>
        <v>1</v>
      </c>
      <c r="O152" s="183">
        <f t="shared" si="20"/>
        <v>1</v>
      </c>
      <c r="P152" s="88" t="s">
        <v>124</v>
      </c>
      <c r="Q152" s="91">
        <f t="shared" si="21"/>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2"/>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3"/>
        <v>0.51249999999999996</v>
      </c>
      <c r="K153" s="189">
        <f>SUMIFS(Table1[Horas efetivas],Table1[Tabela],Plano_V3!E153,Table1[Campo],Plano_V3!F153)</f>
        <v>4.0999999999999996</v>
      </c>
      <c r="L153" s="189">
        <f t="shared" si="24"/>
        <v>0.51249999999999996</v>
      </c>
      <c r="M153" s="183"/>
      <c r="N153" s="183">
        <f t="shared" si="25"/>
        <v>1</v>
      </c>
      <c r="O153" s="183">
        <f t="shared" ref="O153:O216" si="26">N153-M153</f>
        <v>1</v>
      </c>
      <c r="P153" s="88" t="s">
        <v>124</v>
      </c>
      <c r="Q153" s="91">
        <f t="shared" si="21"/>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2"/>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3"/>
        <v>0.51249999999999996</v>
      </c>
      <c r="K154" s="189">
        <f>SUMIFS(Table1[Horas efetivas],Table1[Tabela],Plano_V3!E154,Table1[Campo],Plano_V3!F154)</f>
        <v>4.0999999999999996</v>
      </c>
      <c r="L154" s="189">
        <f t="shared" si="24"/>
        <v>0.51249999999999996</v>
      </c>
      <c r="M154" s="183"/>
      <c r="N154" s="183">
        <f t="shared" si="25"/>
        <v>1</v>
      </c>
      <c r="O154" s="183">
        <f t="shared" si="26"/>
        <v>1</v>
      </c>
      <c r="P154" s="88" t="s">
        <v>124</v>
      </c>
      <c r="Q154" s="91">
        <f t="shared" ref="Q154:Q224" si="27">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2"/>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3"/>
        <v>0.51249999999999996</v>
      </c>
      <c r="K155" s="189">
        <f>SUMIFS(Table1[Horas efetivas],Table1[Tabela],Plano_V3!E155,Table1[Campo],Plano_V3!F155)</f>
        <v>4.0999999999999996</v>
      </c>
      <c r="L155" s="189">
        <f t="shared" si="24"/>
        <v>0.51249999999999996</v>
      </c>
      <c r="M155" s="183"/>
      <c r="N155" s="183">
        <f t="shared" si="25"/>
        <v>1</v>
      </c>
      <c r="O155" s="183">
        <f t="shared" si="26"/>
        <v>1</v>
      </c>
      <c r="P155" s="88" t="s">
        <v>124</v>
      </c>
      <c r="Q155" s="91">
        <f t="shared" si="27"/>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28">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3"/>
        <v>0.51249999999999996</v>
      </c>
      <c r="K156" s="189">
        <f>SUMIFS(Table1[Horas efetivas],Table1[Tabela],Plano_V3!E156,Table1[Campo],Plano_V3!F156)</f>
        <v>4.0999999999999996</v>
      </c>
      <c r="L156" s="189">
        <f t="shared" si="24"/>
        <v>0.51249999999999996</v>
      </c>
      <c r="M156" s="183"/>
      <c r="N156" s="183">
        <f t="shared" si="25"/>
        <v>1</v>
      </c>
      <c r="O156" s="183">
        <f t="shared" si="26"/>
        <v>1</v>
      </c>
      <c r="P156" s="88" t="s">
        <v>124</v>
      </c>
      <c r="Q156" s="91">
        <f t="shared" si="27"/>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28"/>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3"/>
        <v>0.51249999999999996</v>
      </c>
      <c r="K157" s="189">
        <f>SUMIFS(Table1[Horas efetivas],Table1[Tabela],Plano_V3!E157,Table1[Campo],Plano_V3!F157)</f>
        <v>4.0999999999999996</v>
      </c>
      <c r="L157" s="189">
        <f t="shared" si="24"/>
        <v>0.51249999999999996</v>
      </c>
      <c r="M157" s="183"/>
      <c r="N157" s="183">
        <f t="shared" si="25"/>
        <v>1</v>
      </c>
      <c r="O157" s="183">
        <f t="shared" si="26"/>
        <v>1</v>
      </c>
      <c r="P157" s="88" t="s">
        <v>124</v>
      </c>
      <c r="Q157" s="91">
        <f t="shared" si="27"/>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28"/>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3"/>
        <v>0.51249999999999996</v>
      </c>
      <c r="K158" s="189">
        <f>SUMIFS(Table1[Horas efetivas],Table1[Tabela],Plano_V3!E158,Table1[Campo],Plano_V3!F158)</f>
        <v>4.0999999999999996</v>
      </c>
      <c r="L158" s="189">
        <f t="shared" si="24"/>
        <v>0.51249999999999996</v>
      </c>
      <c r="M158" s="183"/>
      <c r="N158" s="183">
        <f t="shared" si="25"/>
        <v>1</v>
      </c>
      <c r="O158" s="183">
        <f t="shared" si="26"/>
        <v>1</v>
      </c>
      <c r="P158" s="88" t="s">
        <v>124</v>
      </c>
      <c r="Q158" s="91">
        <f t="shared" si="27"/>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28"/>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3"/>
        <v>0.51249999999999996</v>
      </c>
      <c r="K159" s="189">
        <f>SUMIFS(Table1[Horas efetivas],Table1[Tabela],Plano_V3!E159,Table1[Campo],Plano_V3!F159)</f>
        <v>4.0999999999999996</v>
      </c>
      <c r="L159" s="189">
        <f t="shared" si="24"/>
        <v>0.51249999999999996</v>
      </c>
      <c r="M159" s="183"/>
      <c r="N159" s="183">
        <f t="shared" si="25"/>
        <v>1</v>
      </c>
      <c r="O159" s="183">
        <f t="shared" si="26"/>
        <v>1</v>
      </c>
      <c r="P159" s="88" t="s">
        <v>124</v>
      </c>
      <c r="Q159" s="91">
        <f t="shared" si="27"/>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28"/>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3"/>
        <v>0.51249999999999996</v>
      </c>
      <c r="K160" s="189">
        <f>SUMIFS(Table1[Horas efetivas],Table1[Tabela],Plano_V3!E160,Table1[Campo],Plano_V3!F160)</f>
        <v>4.0999999999999996</v>
      </c>
      <c r="L160" s="189">
        <f t="shared" si="24"/>
        <v>0.51249999999999996</v>
      </c>
      <c r="M160" s="183"/>
      <c r="N160" s="183">
        <f t="shared" si="25"/>
        <v>1</v>
      </c>
      <c r="O160" s="183">
        <f t="shared" si="26"/>
        <v>1</v>
      </c>
      <c r="P160" s="88" t="s">
        <v>124</v>
      </c>
      <c r="Q160" s="91">
        <f t="shared" si="27"/>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28"/>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3"/>
        <v>0.51249999999999996</v>
      </c>
      <c r="K161" s="189">
        <f>SUMIFS(Table1[Horas efetivas],Table1[Tabela],Plano_V3!E161,Table1[Campo],Plano_V3!F161)</f>
        <v>4.0999999999999996</v>
      </c>
      <c r="L161" s="189">
        <f t="shared" si="24"/>
        <v>0.51249999999999996</v>
      </c>
      <c r="M161" s="183"/>
      <c r="N161" s="183">
        <f t="shared" si="25"/>
        <v>1</v>
      </c>
      <c r="O161" s="183">
        <f t="shared" si="26"/>
        <v>1</v>
      </c>
      <c r="P161" s="88" t="s">
        <v>124</v>
      </c>
      <c r="Q161" s="91">
        <f t="shared" si="27"/>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28"/>
        <v>PROPERTY_ENERGY_CERTIFICATEENERGY_CONSUMPTION_VALUE_YEAR</v>
      </c>
      <c r="B162" s="68" t="s">
        <v>26</v>
      </c>
      <c r="C162" s="69" t="s">
        <v>54</v>
      </c>
      <c r="D162" s="65" t="s">
        <v>40</v>
      </c>
      <c r="E162" s="67" t="s">
        <v>123</v>
      </c>
      <c r="F162" s="67" t="s">
        <v>51</v>
      </c>
      <c r="G162" s="65" t="str">
        <f>INDEX(Auxiliar!$B$16:$B$24,MATCH(Plano_V3!H162,Auxiliar!$C$16:$C$24,0),1)</f>
        <v>1. Concluído</v>
      </c>
      <c r="H162" s="65">
        <f>VLOOKUP(A162,'Aux - pivots1'!$A:$B,2,0)</f>
        <v>1</v>
      </c>
      <c r="I162" s="189">
        <f>SUMIFS(Table1[Estimação (horas)],Table1[Tabela],Plano_V3!E162,Table1[Campo],Plano_V3!F162)</f>
        <v>4.0999999999999996</v>
      </c>
      <c r="J162" s="189">
        <f t="shared" si="23"/>
        <v>0.51249999999999996</v>
      </c>
      <c r="K162" s="189">
        <f>SUMIFS(Table1[Horas efetivas],Table1[Tabela],Plano_V3!E162,Table1[Campo],Plano_V3!F162)</f>
        <v>4.0999999999999996</v>
      </c>
      <c r="L162" s="189">
        <f t="shared" si="24"/>
        <v>0.51249999999999996</v>
      </c>
      <c r="M162" s="183"/>
      <c r="N162" s="183">
        <f t="shared" si="25"/>
        <v>1</v>
      </c>
      <c r="O162" s="183">
        <f t="shared" si="26"/>
        <v>1</v>
      </c>
      <c r="P162" s="88" t="s">
        <v>124</v>
      </c>
      <c r="Q162" s="91">
        <f t="shared" si="27"/>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28"/>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3"/>
        <v>0.51249999999999996</v>
      </c>
      <c r="K163" s="189">
        <f>SUMIFS(Table1[Horas efetivas],Table1[Tabela],Plano_V3!E163,Table1[Campo],Plano_V3!F163)</f>
        <v>4.0999999999999996</v>
      </c>
      <c r="L163" s="189">
        <f t="shared" si="24"/>
        <v>0.51249999999999996</v>
      </c>
      <c r="M163" s="183"/>
      <c r="N163" s="183">
        <f t="shared" si="25"/>
        <v>1</v>
      </c>
      <c r="O163" s="183">
        <f t="shared" si="26"/>
        <v>1</v>
      </c>
      <c r="P163" s="88" t="s">
        <v>124</v>
      </c>
      <c r="Q163" s="91">
        <f t="shared" si="27"/>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28"/>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3"/>
        <v>0.51249999999999996</v>
      </c>
      <c r="K164" s="189">
        <f>SUMIFS(Table1[Horas efetivas],Table1[Tabela],Plano_V3!E164,Table1[Campo],Plano_V3!F164)</f>
        <v>4.0999999999999996</v>
      </c>
      <c r="L164" s="189">
        <f t="shared" si="24"/>
        <v>0.51249999999999996</v>
      </c>
      <c r="M164" s="183"/>
      <c r="N164" s="183">
        <f t="shared" si="25"/>
        <v>1</v>
      </c>
      <c r="O164" s="183">
        <f t="shared" si="26"/>
        <v>1</v>
      </c>
      <c r="P164" s="88" t="s">
        <v>124</v>
      </c>
      <c r="Q164" s="91">
        <f t="shared" si="27"/>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28"/>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3"/>
        <v>0.51249999999999996</v>
      </c>
      <c r="K165" s="189">
        <f>SUMIFS(Table1[Horas efetivas],Table1[Tabela],Plano_V3!E165,Table1[Campo],Plano_V3!F165)</f>
        <v>4.0999999999999996</v>
      </c>
      <c r="L165" s="189">
        <f t="shared" si="24"/>
        <v>0.51249999999999996</v>
      </c>
      <c r="M165" s="183"/>
      <c r="N165" s="183">
        <f t="shared" si="25"/>
        <v>1</v>
      </c>
      <c r="O165" s="183">
        <f t="shared" si="26"/>
        <v>1</v>
      </c>
      <c r="P165" s="88" t="s">
        <v>124</v>
      </c>
      <c r="Q165" s="91">
        <f t="shared" si="27"/>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28"/>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3"/>
        <v>0.51249999999999996</v>
      </c>
      <c r="K166" s="189">
        <f>SUMIFS(Table1[Horas efetivas],Table1[Tabela],Plano_V3!E166,Table1[Campo],Plano_V3!F166)</f>
        <v>4.0999999999999996</v>
      </c>
      <c r="L166" s="189">
        <f t="shared" si="24"/>
        <v>0.51249999999999996</v>
      </c>
      <c r="M166" s="183"/>
      <c r="N166" s="183">
        <f t="shared" si="25"/>
        <v>1</v>
      </c>
      <c r="O166" s="183">
        <f t="shared" si="26"/>
        <v>1</v>
      </c>
      <c r="P166" s="88" t="s">
        <v>124</v>
      </c>
      <c r="Q166" s="91">
        <f t="shared" si="27"/>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28"/>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3"/>
        <v>0.51249999999999996</v>
      </c>
      <c r="K167" s="189">
        <f>SUMIFS(Table1[Horas efetivas],Table1[Tabela],Plano_V3!E167,Table1[Campo],Plano_V3!F167)</f>
        <v>4.0999999999999996</v>
      </c>
      <c r="L167" s="189">
        <f t="shared" si="24"/>
        <v>0.51249999999999996</v>
      </c>
      <c r="M167" s="183"/>
      <c r="N167" s="183">
        <f t="shared" si="25"/>
        <v>1</v>
      </c>
      <c r="O167" s="183">
        <f t="shared" si="26"/>
        <v>1</v>
      </c>
      <c r="P167" s="88" t="s">
        <v>124</v>
      </c>
      <c r="Q167" s="91">
        <f t="shared" si="27"/>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28"/>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3"/>
        <v>0.51249999999999996</v>
      </c>
      <c r="K168" s="189">
        <f>SUMIFS(Table1[Horas efetivas],Table1[Tabela],Plano_V3!E168,Table1[Campo],Plano_V3!F168)</f>
        <v>4.0999999999999996</v>
      </c>
      <c r="L168" s="189">
        <f t="shared" si="24"/>
        <v>0.51249999999999996</v>
      </c>
      <c r="M168" s="183"/>
      <c r="N168" s="183">
        <f t="shared" si="25"/>
        <v>1</v>
      </c>
      <c r="O168" s="183">
        <f t="shared" si="26"/>
        <v>1</v>
      </c>
      <c r="P168" s="88" t="s">
        <v>124</v>
      </c>
      <c r="Q168" s="91">
        <f t="shared" si="27"/>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28"/>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3"/>
        <v>0.51249999999999996</v>
      </c>
      <c r="K169" s="189">
        <f>SUMIFS(Table1[Horas efetivas],Table1[Tabela],Plano_V3!E169,Table1[Campo],Plano_V3!F169)</f>
        <v>4.0999999999999996</v>
      </c>
      <c r="L169" s="189">
        <f t="shared" si="24"/>
        <v>0.51249999999999996</v>
      </c>
      <c r="M169" s="183"/>
      <c r="N169" s="183">
        <f t="shared" si="25"/>
        <v>1</v>
      </c>
      <c r="O169" s="183">
        <f t="shared" si="26"/>
        <v>1</v>
      </c>
      <c r="P169" s="88" t="s">
        <v>124</v>
      </c>
      <c r="Q169" s="91">
        <f t="shared" si="27"/>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28"/>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29">I170/8</f>
        <v>0.51249999999999996</v>
      </c>
      <c r="K170" s="189">
        <f>SUMIFS(Table1[Horas efetivas],Table1[Tabela],Plano_V3!E170,Table1[Campo],Plano_V3!F170)</f>
        <v>4.0999999999999996</v>
      </c>
      <c r="L170" s="189">
        <f t="shared" ref="L170:L202" si="30">K170/8</f>
        <v>0.51249999999999996</v>
      </c>
      <c r="M170" s="183"/>
      <c r="N170" s="183">
        <f t="shared" ref="N170:N203" si="31">L170/J170</f>
        <v>1</v>
      </c>
      <c r="O170" s="183">
        <f t="shared" si="26"/>
        <v>1</v>
      </c>
      <c r="P170" s="88" t="s">
        <v>124</v>
      </c>
      <c r="Q170" s="91">
        <f t="shared" si="27"/>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28"/>
        <v>PROPERTY_ENERGY_CERTIFICATECARBON_EMISSION_VALUE_YEAR</v>
      </c>
      <c r="B171" s="68" t="s">
        <v>26</v>
      </c>
      <c r="C171" s="69" t="s">
        <v>54</v>
      </c>
      <c r="D171" s="65" t="s">
        <v>40</v>
      </c>
      <c r="E171" s="67" t="s">
        <v>123</v>
      </c>
      <c r="F171" s="67" t="s">
        <v>52</v>
      </c>
      <c r="G171" s="65" t="str">
        <f>INDEX(Auxiliar!$B$16:$B$24,MATCH(Plano_V3!H171,Auxiliar!$C$16:$C$24,0),1)</f>
        <v>1. Concluído</v>
      </c>
      <c r="H171" s="65">
        <f>VLOOKUP(A171,'Aux - pivots1'!$A:$B,2,0)</f>
        <v>1</v>
      </c>
      <c r="I171" s="189">
        <f>SUMIFS(Table1[Estimação (horas)],Table1[Tabela],Plano_V3!E171,Table1[Campo],Plano_V3!F171)</f>
        <v>4.0999999999999996</v>
      </c>
      <c r="J171" s="189">
        <f t="shared" si="29"/>
        <v>0.51249999999999996</v>
      </c>
      <c r="K171" s="189">
        <f>SUMIFS(Table1[Horas efetivas],Table1[Tabela],Plano_V3!E171,Table1[Campo],Plano_V3!F171)</f>
        <v>4.0999999999999996</v>
      </c>
      <c r="L171" s="189">
        <f t="shared" si="30"/>
        <v>0.51249999999999996</v>
      </c>
      <c r="M171" s="183"/>
      <c r="N171" s="183">
        <f t="shared" si="31"/>
        <v>1</v>
      </c>
      <c r="O171" s="183">
        <f t="shared" si="26"/>
        <v>1</v>
      </c>
      <c r="P171" s="88" t="s">
        <v>124</v>
      </c>
      <c r="Q171" s="91">
        <f t="shared" si="27"/>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28"/>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29"/>
        <v>0.51249999999999996</v>
      </c>
      <c r="K172" s="189">
        <f>SUMIFS(Table1[Horas efetivas],Table1[Tabela],Plano_V3!E172,Table1[Campo],Plano_V3!F172)</f>
        <v>4.0999999999999996</v>
      </c>
      <c r="L172" s="189">
        <f t="shared" si="30"/>
        <v>0.51249999999999996</v>
      </c>
      <c r="M172" s="183"/>
      <c r="N172" s="183">
        <f t="shared" si="31"/>
        <v>1</v>
      </c>
      <c r="O172" s="183">
        <f t="shared" si="26"/>
        <v>1</v>
      </c>
      <c r="P172" s="88" t="s">
        <v>124</v>
      </c>
      <c r="Q172" s="91">
        <f t="shared" si="27"/>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28"/>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29"/>
        <v>0.51249999999999996</v>
      </c>
      <c r="K173" s="189">
        <f>SUMIFS(Table1[Horas efetivas],Table1[Tabela],Plano_V3!E173,Table1[Campo],Plano_V3!F173)</f>
        <v>4.0999999999999996</v>
      </c>
      <c r="L173" s="189">
        <f t="shared" si="30"/>
        <v>0.51249999999999996</v>
      </c>
      <c r="M173" s="183"/>
      <c r="N173" s="183">
        <f t="shared" si="31"/>
        <v>1</v>
      </c>
      <c r="O173" s="183">
        <f t="shared" si="26"/>
        <v>1</v>
      </c>
      <c r="P173" s="88" t="s">
        <v>124</v>
      </c>
      <c r="Q173" s="91">
        <f t="shared" si="27"/>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28"/>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29"/>
        <v>0.51249999999999996</v>
      </c>
      <c r="K174" s="189">
        <f>SUMIFS(Table1[Horas efetivas],Table1[Tabela],Plano_V3!E174,Table1[Campo],Plano_V3!F174)</f>
        <v>4.0999999999999996</v>
      </c>
      <c r="L174" s="189">
        <f t="shared" si="30"/>
        <v>0.51249999999999996</v>
      </c>
      <c r="M174" s="183"/>
      <c r="N174" s="183">
        <f t="shared" si="31"/>
        <v>1</v>
      </c>
      <c r="O174" s="183">
        <f t="shared" si="26"/>
        <v>1</v>
      </c>
      <c r="P174" s="88" t="s">
        <v>124</v>
      </c>
      <c r="Q174" s="91">
        <f t="shared" si="27"/>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28"/>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29"/>
        <v>0.51249999999999996</v>
      </c>
      <c r="K175" s="189">
        <f>SUMIFS(Table1[Horas efetivas],Table1[Tabela],Plano_V3!E175,Table1[Campo],Plano_V3!F175)</f>
        <v>4.0999999999999996</v>
      </c>
      <c r="L175" s="189">
        <f t="shared" si="30"/>
        <v>0.51249999999999996</v>
      </c>
      <c r="M175" s="183"/>
      <c r="N175" s="183">
        <f t="shared" si="31"/>
        <v>1</v>
      </c>
      <c r="O175" s="183">
        <f t="shared" si="26"/>
        <v>1</v>
      </c>
      <c r="P175" s="88" t="s">
        <v>124</v>
      </c>
      <c r="Q175" s="91">
        <f t="shared" si="27"/>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28"/>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29"/>
        <v>0.51249999999999996</v>
      </c>
      <c r="K176" s="189">
        <f>SUMIFS(Table1[Horas efetivas],Table1[Tabela],Plano_V3!E176,Table1[Campo],Plano_V3!F176)</f>
        <v>4.0999999999999996</v>
      </c>
      <c r="L176" s="189">
        <f t="shared" si="30"/>
        <v>0.51249999999999996</v>
      </c>
      <c r="M176" s="183"/>
      <c r="N176" s="183">
        <f t="shared" si="31"/>
        <v>1</v>
      </c>
      <c r="O176" s="183">
        <f t="shared" si="26"/>
        <v>1</v>
      </c>
      <c r="P176" s="88" t="s">
        <v>124</v>
      </c>
      <c r="Q176" s="91">
        <f t="shared" si="27"/>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28"/>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29"/>
        <v>0.51249999999999996</v>
      </c>
      <c r="K177" s="189">
        <f>SUMIFS(Table1[Horas efetivas],Table1[Tabela],Plano_V3!E177,Table1[Campo],Plano_V3!F177)</f>
        <v>4.0999999999999996</v>
      </c>
      <c r="L177" s="189">
        <f t="shared" si="30"/>
        <v>0.51249999999999996</v>
      </c>
      <c r="M177" s="183"/>
      <c r="N177" s="183">
        <f t="shared" si="31"/>
        <v>1</v>
      </c>
      <c r="O177" s="183">
        <f t="shared" si="26"/>
        <v>1</v>
      </c>
      <c r="P177" s="88" t="s">
        <v>124</v>
      </c>
      <c r="Q177" s="91">
        <f t="shared" si="27"/>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28"/>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29"/>
        <v>0.51249999999999996</v>
      </c>
      <c r="K178" s="189">
        <f>SUMIFS(Table1[Horas efetivas],Table1[Tabela],Plano_V3!E178,Table1[Campo],Plano_V3!F178)</f>
        <v>4.0999999999999996</v>
      </c>
      <c r="L178" s="189">
        <f t="shared" si="30"/>
        <v>0.51249999999999996</v>
      </c>
      <c r="M178" s="183"/>
      <c r="N178" s="183">
        <f t="shared" si="31"/>
        <v>1</v>
      </c>
      <c r="O178" s="183">
        <f t="shared" si="26"/>
        <v>1</v>
      </c>
      <c r="P178" s="88" t="s">
        <v>124</v>
      </c>
      <c r="Q178" s="91">
        <f t="shared" si="27"/>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28"/>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29"/>
        <v>0.51249999999999996</v>
      </c>
      <c r="K179" s="189">
        <f>SUMIFS(Table1[Horas efetivas],Table1[Tabela],Plano_V3!E179,Table1[Campo],Plano_V3!F179)</f>
        <v>4.0999999999999996</v>
      </c>
      <c r="L179" s="189">
        <f t="shared" si="30"/>
        <v>0.51249999999999996</v>
      </c>
      <c r="M179" s="183"/>
      <c r="N179" s="183">
        <f t="shared" si="31"/>
        <v>1</v>
      </c>
      <c r="O179" s="183">
        <f t="shared" si="26"/>
        <v>1</v>
      </c>
      <c r="P179" s="88" t="s">
        <v>124</v>
      </c>
      <c r="Q179" s="91">
        <f t="shared" si="27"/>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28"/>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29"/>
        <v>0.51249999999999996</v>
      </c>
      <c r="K180" s="189">
        <f>SUMIFS(Table1[Horas efetivas],Table1[Tabela],Plano_V3!E180,Table1[Campo],Plano_V3!F180)</f>
        <v>4.0999999999999996</v>
      </c>
      <c r="L180" s="189">
        <f t="shared" si="30"/>
        <v>0.51249999999999996</v>
      </c>
      <c r="M180" s="183"/>
      <c r="N180" s="183">
        <f t="shared" si="31"/>
        <v>1</v>
      </c>
      <c r="O180" s="183">
        <f t="shared" si="26"/>
        <v>1</v>
      </c>
      <c r="P180" s="88" t="s">
        <v>124</v>
      </c>
      <c r="Q180" s="91">
        <f t="shared" si="27"/>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28"/>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29"/>
        <v>0.51249999999999996</v>
      </c>
      <c r="K181" s="189">
        <f>SUMIFS(Table1[Horas efetivas],Table1[Tabela],Plano_V3!E181,Table1[Campo],Plano_V3!F181)</f>
        <v>4.0999999999999996</v>
      </c>
      <c r="L181" s="189">
        <f t="shared" si="30"/>
        <v>0.51249999999999996</v>
      </c>
      <c r="M181" s="183"/>
      <c r="N181" s="183">
        <f t="shared" si="31"/>
        <v>1</v>
      </c>
      <c r="O181" s="183">
        <f t="shared" si="26"/>
        <v>1</v>
      </c>
      <c r="P181" s="88" t="s">
        <v>124</v>
      </c>
      <c r="Q181" s="91">
        <f t="shared" si="27"/>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28"/>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29"/>
        <v>0.51249999999999996</v>
      </c>
      <c r="K182" s="189">
        <f>SUMIFS(Table1[Horas efetivas],Table1[Tabela],Plano_V3!E182,Table1[Campo],Plano_V3!F182)</f>
        <v>4.0999999999999996</v>
      </c>
      <c r="L182" s="189">
        <f t="shared" si="30"/>
        <v>0.51249999999999996</v>
      </c>
      <c r="M182" s="183"/>
      <c r="N182" s="183">
        <f t="shared" si="31"/>
        <v>1</v>
      </c>
      <c r="O182" s="183">
        <f t="shared" si="26"/>
        <v>1</v>
      </c>
      <c r="P182" s="88" t="s">
        <v>124</v>
      </c>
      <c r="Q182" s="91">
        <f t="shared" si="27"/>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28"/>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29"/>
        <v>0.51249999999999996</v>
      </c>
      <c r="K183" s="189">
        <f>SUMIFS(Table1[Horas efetivas],Table1[Tabela],Plano_V3!E183,Table1[Campo],Plano_V3!F183)</f>
        <v>4.0999999999999996</v>
      </c>
      <c r="L183" s="189">
        <f t="shared" si="30"/>
        <v>0.51249999999999996</v>
      </c>
      <c r="M183" s="183"/>
      <c r="N183" s="183">
        <f t="shared" si="31"/>
        <v>1</v>
      </c>
      <c r="O183" s="183">
        <f t="shared" si="26"/>
        <v>1</v>
      </c>
      <c r="P183" s="88" t="s">
        <v>124</v>
      </c>
      <c r="Q183" s="91">
        <f t="shared" si="27"/>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28"/>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29"/>
        <v>0.51249999999999996</v>
      </c>
      <c r="K184" s="189">
        <f>SUMIFS(Table1[Horas efetivas],Table1[Tabela],Plano_V3!E184,Table1[Campo],Plano_V3!F184)</f>
        <v>4.0999999999999996</v>
      </c>
      <c r="L184" s="189">
        <f t="shared" si="30"/>
        <v>0.51249999999999996</v>
      </c>
      <c r="M184" s="183"/>
      <c r="N184" s="183">
        <f t="shared" si="31"/>
        <v>1</v>
      </c>
      <c r="O184" s="183">
        <f t="shared" si="26"/>
        <v>1</v>
      </c>
      <c r="P184" s="88" t="s">
        <v>124</v>
      </c>
      <c r="Q184" s="91">
        <f t="shared" si="27"/>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28"/>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29"/>
        <v>0.51249999999999996</v>
      </c>
      <c r="K185" s="189">
        <f>SUMIFS(Table1[Horas efetivas],Table1[Tabela],Plano_V3!E185,Table1[Campo],Plano_V3!F185)</f>
        <v>4.0999999999999996</v>
      </c>
      <c r="L185" s="189">
        <f t="shared" si="30"/>
        <v>0.51249999999999996</v>
      </c>
      <c r="M185" s="183"/>
      <c r="N185" s="183">
        <f t="shared" si="31"/>
        <v>1</v>
      </c>
      <c r="O185" s="183">
        <f t="shared" si="26"/>
        <v>1</v>
      </c>
      <c r="P185" s="88" t="s">
        <v>124</v>
      </c>
      <c r="Q185" s="91">
        <f t="shared" si="27"/>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28"/>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29"/>
        <v>0.51249999999999996</v>
      </c>
      <c r="K186" s="189">
        <f>SUMIFS(Table1[Horas efetivas],Table1[Tabela],Plano_V3!E186,Table1[Campo],Plano_V3!F186)</f>
        <v>4.0999999999999996</v>
      </c>
      <c r="L186" s="189">
        <f t="shared" si="30"/>
        <v>0.51249999999999996</v>
      </c>
      <c r="M186" s="183"/>
      <c r="N186" s="183">
        <f t="shared" si="31"/>
        <v>1</v>
      </c>
      <c r="O186" s="183">
        <f t="shared" si="26"/>
        <v>1</v>
      </c>
      <c r="P186" s="88" t="s">
        <v>124</v>
      </c>
      <c r="Q186" s="91">
        <f t="shared" si="27"/>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28"/>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29"/>
        <v>0.51249999999999996</v>
      </c>
      <c r="K187" s="189">
        <f>SUMIFS(Table1[Horas efetivas],Table1[Tabela],Plano_V3!E187,Table1[Campo],Plano_V3!F187)</f>
        <v>4.0999999999999996</v>
      </c>
      <c r="L187" s="189">
        <f t="shared" si="30"/>
        <v>0.51249999999999996</v>
      </c>
      <c r="M187" s="183"/>
      <c r="N187" s="183">
        <f t="shared" si="31"/>
        <v>1</v>
      </c>
      <c r="O187" s="183">
        <f t="shared" si="26"/>
        <v>1</v>
      </c>
      <c r="P187" s="88" t="s">
        <v>124</v>
      </c>
      <c r="Q187" s="91">
        <f t="shared" si="27"/>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28"/>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29"/>
        <v>0.51249999999999996</v>
      </c>
      <c r="K188" s="189">
        <f>SUMIFS(Table1[Horas efetivas],Table1[Tabela],Plano_V3!E188,Table1[Campo],Plano_V3!F188)</f>
        <v>4.0999999999999996</v>
      </c>
      <c r="L188" s="189">
        <f t="shared" si="30"/>
        <v>0.51249999999999996</v>
      </c>
      <c r="M188" s="183"/>
      <c r="N188" s="183">
        <f t="shared" si="31"/>
        <v>1</v>
      </c>
      <c r="O188" s="183">
        <f t="shared" si="26"/>
        <v>1</v>
      </c>
      <c r="P188" s="88" t="s">
        <v>124</v>
      </c>
      <c r="Q188" s="91">
        <f t="shared" si="27"/>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28"/>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29"/>
        <v>0.51249999999999996</v>
      </c>
      <c r="K189" s="189">
        <f>SUMIFS(Table1[Horas efetivas],Table1[Tabela],Plano_V3!E189,Table1[Campo],Plano_V3!F189)</f>
        <v>4.0999999999999996</v>
      </c>
      <c r="L189" s="189">
        <f t="shared" si="30"/>
        <v>0.51249999999999996</v>
      </c>
      <c r="M189" s="183"/>
      <c r="N189" s="183">
        <f t="shared" si="31"/>
        <v>1</v>
      </c>
      <c r="O189" s="183">
        <f t="shared" si="26"/>
        <v>1</v>
      </c>
      <c r="P189" s="88" t="s">
        <v>124</v>
      </c>
      <c r="Q189" s="91">
        <f t="shared" si="27"/>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28"/>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29"/>
        <v>0.51249999999999996</v>
      </c>
      <c r="K190" s="189">
        <f>SUMIFS(Table1[Horas efetivas],Table1[Tabela],Plano_V3!E190,Table1[Campo],Plano_V3!F190)</f>
        <v>4.0999999999999996</v>
      </c>
      <c r="L190" s="189">
        <f t="shared" si="30"/>
        <v>0.51249999999999996</v>
      </c>
      <c r="M190" s="183"/>
      <c r="N190" s="183">
        <f t="shared" si="31"/>
        <v>1</v>
      </c>
      <c r="O190" s="183">
        <f t="shared" si="26"/>
        <v>1</v>
      </c>
      <c r="P190" s="88" t="s">
        <v>124</v>
      </c>
      <c r="Q190" s="91">
        <f t="shared" si="27"/>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28"/>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29"/>
        <v>0.51249999999999996</v>
      </c>
      <c r="K191" s="189">
        <f>SUMIFS(Table1[Horas efetivas],Table1[Tabela],Plano_V3!E191,Table1[Campo],Plano_V3!F191)</f>
        <v>4.0999999999999996</v>
      </c>
      <c r="L191" s="189">
        <f t="shared" si="30"/>
        <v>0.51249999999999996</v>
      </c>
      <c r="M191" s="183"/>
      <c r="N191" s="183">
        <f t="shared" si="31"/>
        <v>1</v>
      </c>
      <c r="O191" s="183">
        <f t="shared" si="26"/>
        <v>1</v>
      </c>
      <c r="P191" s="88" t="s">
        <v>124</v>
      </c>
      <c r="Q191" s="91">
        <f t="shared" si="27"/>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28"/>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29"/>
        <v>0.51249999999999996</v>
      </c>
      <c r="K192" s="189">
        <f>SUMIFS(Table1[Horas efetivas],Table1[Tabela],Plano_V3!E192,Table1[Campo],Plano_V3!F192)</f>
        <v>4.0999999999999996</v>
      </c>
      <c r="L192" s="189">
        <f t="shared" si="30"/>
        <v>0.51249999999999996</v>
      </c>
      <c r="M192" s="183"/>
      <c r="N192" s="183">
        <f t="shared" si="31"/>
        <v>1</v>
      </c>
      <c r="O192" s="183">
        <f t="shared" si="26"/>
        <v>1</v>
      </c>
      <c r="P192" s="88" t="s">
        <v>124</v>
      </c>
      <c r="Q192" s="91">
        <f t="shared" si="27"/>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28"/>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29"/>
        <v>0.51249999999999996</v>
      </c>
      <c r="K193" s="189">
        <f>SUMIFS(Table1[Horas efetivas],Table1[Tabela],Plano_V3!E193,Table1[Campo],Plano_V3!F193)</f>
        <v>4.0999999999999996</v>
      </c>
      <c r="L193" s="189">
        <f t="shared" si="30"/>
        <v>0.51249999999999996</v>
      </c>
      <c r="M193" s="183"/>
      <c r="N193" s="183">
        <f t="shared" si="31"/>
        <v>1</v>
      </c>
      <c r="O193" s="183">
        <f t="shared" si="26"/>
        <v>1</v>
      </c>
      <c r="P193" s="88" t="s">
        <v>124</v>
      </c>
      <c r="Q193" s="91">
        <f t="shared" si="27"/>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28"/>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29"/>
        <v>0.51249999999999996</v>
      </c>
      <c r="K194" s="189">
        <f>SUMIFS(Table1[Horas efetivas],Table1[Tabela],Plano_V3!E194,Table1[Campo],Plano_V3!F194)</f>
        <v>4.0999999999999996</v>
      </c>
      <c r="L194" s="189">
        <f t="shared" si="30"/>
        <v>0.51249999999999996</v>
      </c>
      <c r="M194" s="183"/>
      <c r="N194" s="183">
        <f t="shared" si="31"/>
        <v>1</v>
      </c>
      <c r="O194" s="183">
        <f t="shared" si="26"/>
        <v>1</v>
      </c>
      <c r="P194" s="88" t="s">
        <v>124</v>
      </c>
      <c r="Q194" s="91">
        <f t="shared" si="27"/>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2">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3">I195/8</f>
        <v>0.51249999999999996</v>
      </c>
      <c r="K195" s="189">
        <f>SUMIFS(Table1[Horas efetivas],Table1[Tabela],Plano_V3!E195,Table1[Campo],Plano_V3!F195)</f>
        <v>4.0999999999999996</v>
      </c>
      <c r="L195" s="189">
        <f t="shared" ref="L195:L201" si="34">K195/8</f>
        <v>0.51249999999999996</v>
      </c>
      <c r="M195" s="183"/>
      <c r="N195" s="183">
        <f t="shared" ref="N195:N201" si="35">L195/J195</f>
        <v>1</v>
      </c>
      <c r="O195" s="183">
        <f t="shared" si="26"/>
        <v>1</v>
      </c>
      <c r="P195" s="88" t="s">
        <v>124</v>
      </c>
      <c r="Q195" s="91">
        <f t="shared" ref="Q195:Q201" si="36">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2"/>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3"/>
        <v>0.51249999999999996</v>
      </c>
      <c r="K196" s="189">
        <f>SUMIFS(Table1[Horas efetivas],Table1[Tabela],Plano_V3!E196,Table1[Campo],Plano_V3!F196)</f>
        <v>4.0999999999999996</v>
      </c>
      <c r="L196" s="189">
        <f t="shared" si="34"/>
        <v>0.51249999999999996</v>
      </c>
      <c r="M196" s="183"/>
      <c r="N196" s="183">
        <f t="shared" si="35"/>
        <v>1</v>
      </c>
      <c r="O196" s="183">
        <f t="shared" si="26"/>
        <v>1</v>
      </c>
      <c r="P196" s="88" t="s">
        <v>124</v>
      </c>
      <c r="Q196" s="91">
        <f t="shared" si="36"/>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2"/>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3"/>
        <v>0.51249999999999996</v>
      </c>
      <c r="K197" s="189">
        <f>SUMIFS(Table1[Horas efetivas],Table1[Tabela],Plano_V3!E197,Table1[Campo],Plano_V3!F197)</f>
        <v>4.0999999999999996</v>
      </c>
      <c r="L197" s="189">
        <f t="shared" si="34"/>
        <v>0.51249999999999996</v>
      </c>
      <c r="M197" s="183"/>
      <c r="N197" s="183">
        <f t="shared" si="35"/>
        <v>1</v>
      </c>
      <c r="O197" s="183">
        <f t="shared" si="26"/>
        <v>1</v>
      </c>
      <c r="P197" s="88" t="s">
        <v>124</v>
      </c>
      <c r="Q197" s="91">
        <f t="shared" si="36"/>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2"/>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3"/>
        <v>0.51249999999999996</v>
      </c>
      <c r="K198" s="189">
        <f>SUMIFS(Table1[Horas efetivas],Table1[Tabela],Plano_V3!E198,Table1[Campo],Plano_V3!F198)</f>
        <v>4.0999999999999996</v>
      </c>
      <c r="L198" s="189">
        <f t="shared" si="34"/>
        <v>0.51249999999999996</v>
      </c>
      <c r="M198" s="183"/>
      <c r="N198" s="183">
        <f t="shared" si="35"/>
        <v>1</v>
      </c>
      <c r="O198" s="183">
        <f t="shared" si="26"/>
        <v>1</v>
      </c>
      <c r="P198" s="88" t="s">
        <v>124</v>
      </c>
      <c r="Q198" s="91">
        <f t="shared" si="36"/>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2"/>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3"/>
        <v>0.51249999999999996</v>
      </c>
      <c r="K199" s="189">
        <f>SUMIFS(Table1[Horas efetivas],Table1[Tabela],Plano_V3!E199,Table1[Campo],Plano_V3!F199)</f>
        <v>4.0999999999999996</v>
      </c>
      <c r="L199" s="189">
        <f t="shared" si="34"/>
        <v>0.51249999999999996</v>
      </c>
      <c r="M199" s="183"/>
      <c r="N199" s="183">
        <f t="shared" si="35"/>
        <v>1</v>
      </c>
      <c r="O199" s="183">
        <f t="shared" si="26"/>
        <v>1</v>
      </c>
      <c r="P199" s="88" t="s">
        <v>124</v>
      </c>
      <c r="Q199" s="91">
        <f t="shared" si="36"/>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2"/>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3"/>
        <v>0.51249999999999996</v>
      </c>
      <c r="K200" s="189">
        <f>SUMIFS(Table1[Horas efetivas],Table1[Tabela],Plano_V3!E200,Table1[Campo],Plano_V3!F200)</f>
        <v>4.0999999999999996</v>
      </c>
      <c r="L200" s="189">
        <f t="shared" si="34"/>
        <v>0.51249999999999996</v>
      </c>
      <c r="M200" s="183"/>
      <c r="N200" s="183">
        <f t="shared" si="35"/>
        <v>1</v>
      </c>
      <c r="O200" s="183">
        <f t="shared" si="26"/>
        <v>1</v>
      </c>
      <c r="P200" s="88" t="s">
        <v>124</v>
      </c>
      <c r="Q200" s="91">
        <f t="shared" si="36"/>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2"/>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3"/>
        <v>0.51249999999999996</v>
      </c>
      <c r="K201" s="189">
        <f>SUMIFS(Table1[Horas efetivas],Table1[Tabela],Plano_V3!E201,Table1[Campo],Plano_V3!F201)</f>
        <v>4.0999999999999996</v>
      </c>
      <c r="L201" s="189">
        <f t="shared" si="34"/>
        <v>0.51249999999999996</v>
      </c>
      <c r="M201" s="183"/>
      <c r="N201" s="183">
        <f t="shared" si="35"/>
        <v>1</v>
      </c>
      <c r="O201" s="183">
        <f t="shared" si="26"/>
        <v>1</v>
      </c>
      <c r="P201" s="88" t="s">
        <v>124</v>
      </c>
      <c r="Q201" s="91">
        <f t="shared" si="36"/>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28"/>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29"/>
        <v>0.51249999999999996</v>
      </c>
      <c r="K202" s="189">
        <f>SUMIFS(Table1[Horas efetivas],Table1[Tabela],Plano_V3!E202,Table1[Campo],Plano_V3!F202)</f>
        <v>4.0999999999999996</v>
      </c>
      <c r="L202" s="189">
        <f t="shared" si="30"/>
        <v>0.51249999999999996</v>
      </c>
      <c r="M202" s="183"/>
      <c r="N202" s="183">
        <f t="shared" si="31"/>
        <v>1</v>
      </c>
      <c r="O202" s="183">
        <f t="shared" si="26"/>
        <v>1</v>
      </c>
      <c r="P202" s="88" t="s">
        <v>124</v>
      </c>
      <c r="Q202" s="91">
        <f t="shared" si="27"/>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28"/>
        <v>Re-testesn.a.</v>
      </c>
      <c r="B203" s="68" t="s">
        <v>26</v>
      </c>
      <c r="C203" s="69" t="s">
        <v>54</v>
      </c>
      <c r="D203" s="65" t="s">
        <v>40</v>
      </c>
      <c r="E203" s="67" t="s">
        <v>53</v>
      </c>
      <c r="F203" s="65" t="s">
        <v>38</v>
      </c>
      <c r="G203" s="65" t="s">
        <v>180</v>
      </c>
      <c r="H203" s="65"/>
      <c r="I203" s="189">
        <f>SUM(I41:I202)*$D$7</f>
        <v>92.850000000000293</v>
      </c>
      <c r="J203" s="189">
        <f>I203/8</f>
        <v>11.606250000000037</v>
      </c>
      <c r="K203" s="189">
        <f>SUM(K41:K202)*$D$7</f>
        <v>92.325000000000287</v>
      </c>
      <c r="L203" s="189">
        <f>K203/8</f>
        <v>11.540625000000036</v>
      </c>
      <c r="M203" s="183"/>
      <c r="N203" s="183">
        <f t="shared" si="31"/>
        <v>0.99434571890145396</v>
      </c>
      <c r="O203" s="183">
        <f t="shared" si="26"/>
        <v>0.99434571890145396</v>
      </c>
      <c r="P203" s="88"/>
      <c r="Q203" s="91">
        <f t="shared" si="27"/>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28"/>
        <v/>
      </c>
      <c r="B204" s="64" t="s">
        <v>26</v>
      </c>
      <c r="C204" s="97" t="s">
        <v>181</v>
      </c>
      <c r="D204" s="97"/>
      <c r="E204" s="104"/>
      <c r="F204" s="97"/>
      <c r="G204" s="97"/>
      <c r="H204" s="97"/>
      <c r="I204" s="188">
        <f>SUM(I205:I370)</f>
        <v>181.0999999999996</v>
      </c>
      <c r="J204" s="188">
        <f>ROUNDUP(I204/8,0)</f>
        <v>23</v>
      </c>
      <c r="K204" s="188">
        <f>SUM(K205:K370)</f>
        <v>162.94999999999959</v>
      </c>
      <c r="L204" s="188">
        <f>ROUNDUP(K204/8,0)</f>
        <v>21</v>
      </c>
      <c r="M204" s="187">
        <f>SUMIFS(R204:ES204,$R$9:$ES$9,"S")/J204</f>
        <v>1</v>
      </c>
      <c r="N204" s="187">
        <f>IFERROR(L204/J204,0)</f>
        <v>0.91304347826086951</v>
      </c>
      <c r="O204" s="187">
        <f t="shared" si="26"/>
        <v>-8.6956521739130488E-2</v>
      </c>
      <c r="P204" s="194" t="s">
        <v>1929</v>
      </c>
      <c r="Q204" s="91">
        <f t="shared" si="27"/>
        <v>0</v>
      </c>
      <c r="R204" s="79"/>
      <c r="S204" s="79"/>
      <c r="T204" s="79"/>
      <c r="U204" s="79"/>
      <c r="V204" s="79"/>
      <c r="W204" s="79"/>
      <c r="X204" s="79"/>
      <c r="Y204" s="79"/>
      <c r="Z204" s="79"/>
      <c r="AA204" s="79"/>
      <c r="AB204" s="79"/>
      <c r="AC204" s="79">
        <v>0.5</v>
      </c>
      <c r="AD204" s="79">
        <v>0.5</v>
      </c>
      <c r="AE204" s="79">
        <v>1</v>
      </c>
      <c r="AF204" s="79">
        <v>1</v>
      </c>
      <c r="AG204" s="198"/>
      <c r="AH204" s="79">
        <v>0.5</v>
      </c>
      <c r="AI204" s="198"/>
      <c r="AJ204" s="198"/>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28"/>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89">
        <f>SUMIFS(Table1[Estimação (horas)],Table1[Tabela],Plano_V3!E205,Table1[Campo],Plano_V3!F205)</f>
        <v>8.5</v>
      </c>
      <c r="J205" s="189">
        <f t="shared" ref="J205:J270" si="37">I205/8</f>
        <v>1.0625</v>
      </c>
      <c r="K205" s="189">
        <f>SUMIFS(Table1[Horas efetivas],Table1[Tabela],Plano_V3!E205,Table1[Campo],Plano_V3!F205)</f>
        <v>8.5</v>
      </c>
      <c r="L205" s="189">
        <f>K205/8</f>
        <v>1.0625</v>
      </c>
      <c r="M205" s="183"/>
      <c r="N205" s="183">
        <f>L205/J205</f>
        <v>1</v>
      </c>
      <c r="O205" s="183">
        <f t="shared" si="26"/>
        <v>1</v>
      </c>
      <c r="P205" s="90" t="s">
        <v>39</v>
      </c>
      <c r="Q205" s="91">
        <f t="shared" si="27"/>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28"/>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89">
        <f>SUMIFS(Table1[Estimação (horas)],Table1[Tabela],Plano_V3!E206,Table1[Campo],Plano_V3!F206)</f>
        <v>0.6</v>
      </c>
      <c r="J206" s="189">
        <f t="shared" si="37"/>
        <v>7.4999999999999997E-2</v>
      </c>
      <c r="K206" s="189">
        <f>SUMIFS(Table1[Horas efetivas],Table1[Tabela],Plano_V3!E206,Table1[Campo],Plano_V3!F206)</f>
        <v>0.6</v>
      </c>
      <c r="L206" s="189">
        <f t="shared" ref="L206:L271" si="38">K206/8</f>
        <v>7.4999999999999997E-2</v>
      </c>
      <c r="M206" s="183"/>
      <c r="N206" s="183">
        <f t="shared" ref="N206:N271" si="39">L206/J206</f>
        <v>1</v>
      </c>
      <c r="O206" s="183">
        <f t="shared" si="26"/>
        <v>1</v>
      </c>
      <c r="P206" s="90" t="s">
        <v>39</v>
      </c>
      <c r="Q206" s="91">
        <f t="shared" si="27"/>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28"/>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89">
        <f>SUMIFS(Table1[Estimação (horas)],Table1[Tabela],Plano_V3!E207,Table1[Campo],Plano_V3!F207)</f>
        <v>0.6</v>
      </c>
      <c r="J207" s="189">
        <f t="shared" si="37"/>
        <v>7.4999999999999997E-2</v>
      </c>
      <c r="K207" s="189">
        <f>SUMIFS(Table1[Horas efetivas],Table1[Tabela],Plano_V3!E207,Table1[Campo],Plano_V3!F207)</f>
        <v>0.6</v>
      </c>
      <c r="L207" s="189">
        <f t="shared" si="38"/>
        <v>7.4999999999999997E-2</v>
      </c>
      <c r="M207" s="183"/>
      <c r="N207" s="183">
        <f t="shared" si="39"/>
        <v>1</v>
      </c>
      <c r="O207" s="183">
        <f t="shared" si="26"/>
        <v>1</v>
      </c>
      <c r="P207" s="90" t="s">
        <v>39</v>
      </c>
      <c r="Q207" s="91">
        <f t="shared" si="27"/>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28"/>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89">
        <f>SUMIFS(Table1[Estimação (horas)],Table1[Tabela],Plano_V3!E208,Table1[Campo],Plano_V3!F208)</f>
        <v>0.6</v>
      </c>
      <c r="J208" s="189">
        <f t="shared" si="37"/>
        <v>7.4999999999999997E-2</v>
      </c>
      <c r="K208" s="189">
        <f>SUMIFS(Table1[Horas efetivas],Table1[Tabela],Plano_V3!E208,Table1[Campo],Plano_V3!F208)</f>
        <v>0.6</v>
      </c>
      <c r="L208" s="189">
        <f t="shared" si="38"/>
        <v>7.4999999999999997E-2</v>
      </c>
      <c r="M208" s="183"/>
      <c r="N208" s="183">
        <f t="shared" si="39"/>
        <v>1</v>
      </c>
      <c r="O208" s="183">
        <f t="shared" si="26"/>
        <v>1</v>
      </c>
      <c r="P208" s="90" t="s">
        <v>39</v>
      </c>
      <c r="Q208" s="91">
        <f t="shared" si="27"/>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28"/>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89">
        <f>SUMIFS(Table1[Estimação (horas)],Table1[Tabela],Plano_V3!E209,Table1[Campo],Plano_V3!F209)</f>
        <v>0.6</v>
      </c>
      <c r="J209" s="189">
        <f t="shared" si="37"/>
        <v>7.4999999999999997E-2</v>
      </c>
      <c r="K209" s="189">
        <f>SUMIFS(Table1[Horas efetivas],Table1[Tabela],Plano_V3!E209,Table1[Campo],Plano_V3!F209)</f>
        <v>0.6</v>
      </c>
      <c r="L209" s="189">
        <f t="shared" si="38"/>
        <v>7.4999999999999997E-2</v>
      </c>
      <c r="M209" s="183"/>
      <c r="N209" s="183">
        <f t="shared" si="39"/>
        <v>1</v>
      </c>
      <c r="O209" s="183">
        <f t="shared" si="26"/>
        <v>1</v>
      </c>
      <c r="P209" s="90" t="s">
        <v>39</v>
      </c>
      <c r="Q209" s="91">
        <f t="shared" si="27"/>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28"/>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89">
        <f>SUMIFS(Table1[Estimação (horas)],Table1[Tabela],Plano_V3!E210,Table1[Campo],Plano_V3!F210)</f>
        <v>0.6</v>
      </c>
      <c r="J210" s="189">
        <f t="shared" si="37"/>
        <v>7.4999999999999997E-2</v>
      </c>
      <c r="K210" s="189">
        <f>SUMIFS(Table1[Horas efetivas],Table1[Tabela],Plano_V3!E210,Table1[Campo],Plano_V3!F210)</f>
        <v>0.6</v>
      </c>
      <c r="L210" s="189">
        <f t="shared" si="38"/>
        <v>7.4999999999999997E-2</v>
      </c>
      <c r="M210" s="183"/>
      <c r="N210" s="183">
        <f t="shared" si="39"/>
        <v>1</v>
      </c>
      <c r="O210" s="183">
        <f t="shared" si="26"/>
        <v>1</v>
      </c>
      <c r="P210" s="90" t="s">
        <v>39</v>
      </c>
      <c r="Q210" s="91">
        <f t="shared" si="27"/>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28"/>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89">
        <f>SUMIFS(Table1[Estimação (horas)],Table1[Tabela],Plano_V3!E211,Table1[Campo],Plano_V3!F211)</f>
        <v>0.6</v>
      </c>
      <c r="J211" s="189">
        <f t="shared" si="37"/>
        <v>7.4999999999999997E-2</v>
      </c>
      <c r="K211" s="189">
        <f>SUMIFS(Table1[Horas efetivas],Table1[Tabela],Plano_V3!E211,Table1[Campo],Plano_V3!F211)</f>
        <v>0.6</v>
      </c>
      <c r="L211" s="189">
        <f t="shared" si="38"/>
        <v>7.4999999999999997E-2</v>
      </c>
      <c r="M211" s="183"/>
      <c r="N211" s="183">
        <f t="shared" si="39"/>
        <v>1</v>
      </c>
      <c r="O211" s="183">
        <f t="shared" si="26"/>
        <v>1</v>
      </c>
      <c r="P211" s="90" t="s">
        <v>39</v>
      </c>
      <c r="Q211" s="91">
        <f t="shared" si="27"/>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28"/>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89">
        <f>SUMIFS(Table1[Estimação (horas)],Table1[Tabela],Plano_V3!E212,Table1[Campo],Plano_V3!F212)</f>
        <v>0.6</v>
      </c>
      <c r="J212" s="189">
        <f t="shared" si="37"/>
        <v>7.4999999999999997E-2</v>
      </c>
      <c r="K212" s="189">
        <f>SUMIFS(Table1[Horas efetivas],Table1[Tabela],Plano_V3!E212,Table1[Campo],Plano_V3!F212)</f>
        <v>0.6</v>
      </c>
      <c r="L212" s="189">
        <f t="shared" si="38"/>
        <v>7.4999999999999997E-2</v>
      </c>
      <c r="M212" s="183"/>
      <c r="N212" s="183">
        <f t="shared" si="39"/>
        <v>1</v>
      </c>
      <c r="O212" s="183">
        <f t="shared" si="26"/>
        <v>1</v>
      </c>
      <c r="P212" s="90" t="s">
        <v>39</v>
      </c>
      <c r="Q212" s="91">
        <f t="shared" si="27"/>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28"/>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89">
        <f>SUMIFS(Table1[Estimação (horas)],Table1[Tabela],Plano_V3!E213,Table1[Campo],Plano_V3!F213)</f>
        <v>0.6</v>
      </c>
      <c r="J213" s="189">
        <f t="shared" si="37"/>
        <v>7.4999999999999997E-2</v>
      </c>
      <c r="K213" s="189">
        <f>SUMIFS(Table1[Horas efetivas],Table1[Tabela],Plano_V3!E213,Table1[Campo],Plano_V3!F213)</f>
        <v>0.6</v>
      </c>
      <c r="L213" s="189">
        <f t="shared" si="38"/>
        <v>7.4999999999999997E-2</v>
      </c>
      <c r="M213" s="183"/>
      <c r="N213" s="183">
        <f t="shared" si="39"/>
        <v>1</v>
      </c>
      <c r="O213" s="183">
        <f t="shared" si="26"/>
        <v>1</v>
      </c>
      <c r="P213" s="90" t="s">
        <v>39</v>
      </c>
      <c r="Q213" s="91">
        <f t="shared" si="27"/>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28"/>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89">
        <f>SUMIFS(Table1[Estimação (horas)],Table1[Tabela],Plano_V3!E214,Table1[Campo],Plano_V3!F214)</f>
        <v>0.6</v>
      </c>
      <c r="J214" s="189">
        <f t="shared" si="37"/>
        <v>7.4999999999999997E-2</v>
      </c>
      <c r="K214" s="189">
        <f>SUMIFS(Table1[Horas efetivas],Table1[Tabela],Plano_V3!E214,Table1[Campo],Plano_V3!F214)</f>
        <v>0.6</v>
      </c>
      <c r="L214" s="189">
        <f t="shared" si="38"/>
        <v>7.4999999999999997E-2</v>
      </c>
      <c r="M214" s="183"/>
      <c r="N214" s="183">
        <f t="shared" si="39"/>
        <v>1</v>
      </c>
      <c r="O214" s="183">
        <f t="shared" si="26"/>
        <v>1</v>
      </c>
      <c r="P214" s="90" t="s">
        <v>39</v>
      </c>
      <c r="Q214" s="91">
        <f t="shared" si="27"/>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28"/>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89">
        <f>SUMIFS(Table1[Estimação (horas)],Table1[Tabela],Plano_V3!E215,Table1[Campo],Plano_V3!F215)</f>
        <v>0.6</v>
      </c>
      <c r="J215" s="189">
        <f t="shared" si="37"/>
        <v>7.4999999999999997E-2</v>
      </c>
      <c r="K215" s="189">
        <f>SUMIFS(Table1[Horas efetivas],Table1[Tabela],Plano_V3!E215,Table1[Campo],Plano_V3!F215)</f>
        <v>0.6</v>
      </c>
      <c r="L215" s="189">
        <f t="shared" si="38"/>
        <v>7.4999999999999997E-2</v>
      </c>
      <c r="M215" s="183"/>
      <c r="N215" s="183">
        <f t="shared" si="39"/>
        <v>1</v>
      </c>
      <c r="O215" s="183">
        <f t="shared" si="26"/>
        <v>1</v>
      </c>
      <c r="P215" s="90" t="s">
        <v>39</v>
      </c>
      <c r="Q215" s="91">
        <f t="shared" si="27"/>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28"/>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89">
        <f>SUMIFS(Table1[Estimação (horas)],Table1[Tabela],Plano_V3!E216,Table1[Campo],Plano_V3!F216)</f>
        <v>0.6</v>
      </c>
      <c r="J216" s="189">
        <f t="shared" si="37"/>
        <v>7.4999999999999997E-2</v>
      </c>
      <c r="K216" s="189">
        <f>SUMIFS(Table1[Horas efetivas],Table1[Tabela],Plano_V3!E216,Table1[Campo],Plano_V3!F216)</f>
        <v>0.6</v>
      </c>
      <c r="L216" s="189">
        <f t="shared" si="38"/>
        <v>7.4999999999999997E-2</v>
      </c>
      <c r="M216" s="183"/>
      <c r="N216" s="183">
        <f t="shared" si="39"/>
        <v>1</v>
      </c>
      <c r="O216" s="183">
        <f t="shared" si="26"/>
        <v>1</v>
      </c>
      <c r="P216" s="90" t="s">
        <v>39</v>
      </c>
      <c r="Q216" s="91">
        <f t="shared" si="27"/>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28"/>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89">
        <f>SUMIFS(Table1[Estimação (horas)],Table1[Tabela],Plano_V3!E217,Table1[Campo],Plano_V3!F217)</f>
        <v>0.6</v>
      </c>
      <c r="J217" s="189">
        <f t="shared" si="37"/>
        <v>7.4999999999999997E-2</v>
      </c>
      <c r="K217" s="189">
        <f>SUMIFS(Table1[Horas efetivas],Table1[Tabela],Plano_V3!E217,Table1[Campo],Plano_V3!F217)</f>
        <v>0.6</v>
      </c>
      <c r="L217" s="189">
        <f t="shared" si="38"/>
        <v>7.4999999999999997E-2</v>
      </c>
      <c r="M217" s="183"/>
      <c r="N217" s="183">
        <f t="shared" si="39"/>
        <v>1</v>
      </c>
      <c r="O217" s="183">
        <f t="shared" ref="O217:O280" si="40">N217-M217</f>
        <v>1</v>
      </c>
      <c r="P217" s="90" t="s">
        <v>39</v>
      </c>
      <c r="Q217" s="91">
        <f t="shared" si="27"/>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28"/>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89">
        <f>SUMIFS(Table1[Estimação (horas)],Table1[Tabela],Plano_V3!E218,Table1[Campo],Plano_V3!F218)</f>
        <v>0.6</v>
      </c>
      <c r="J218" s="189">
        <f t="shared" si="37"/>
        <v>7.4999999999999997E-2</v>
      </c>
      <c r="K218" s="189">
        <f>SUMIFS(Table1[Horas efetivas],Table1[Tabela],Plano_V3!E218,Table1[Campo],Plano_V3!F218)</f>
        <v>0.6</v>
      </c>
      <c r="L218" s="189">
        <f t="shared" si="38"/>
        <v>7.4999999999999997E-2</v>
      </c>
      <c r="M218" s="183"/>
      <c r="N218" s="183">
        <f t="shared" si="39"/>
        <v>1</v>
      </c>
      <c r="O218" s="183">
        <f t="shared" si="40"/>
        <v>1</v>
      </c>
      <c r="P218" s="90" t="s">
        <v>39</v>
      </c>
      <c r="Q218" s="91">
        <f t="shared" si="27"/>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28"/>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89">
        <f>SUMIFS(Table1[Estimação (horas)],Table1[Tabela],Plano_V3!E219,Table1[Campo],Plano_V3!F219)</f>
        <v>0.6</v>
      </c>
      <c r="J219" s="189">
        <f t="shared" si="37"/>
        <v>7.4999999999999997E-2</v>
      </c>
      <c r="K219" s="189">
        <f>SUMIFS(Table1[Horas efetivas],Table1[Tabela],Plano_V3!E219,Table1[Campo],Plano_V3!F219)</f>
        <v>0.6</v>
      </c>
      <c r="L219" s="189">
        <f t="shared" si="38"/>
        <v>7.4999999999999997E-2</v>
      </c>
      <c r="M219" s="183"/>
      <c r="N219" s="183">
        <f t="shared" si="39"/>
        <v>1</v>
      </c>
      <c r="O219" s="183">
        <f t="shared" si="40"/>
        <v>1</v>
      </c>
      <c r="P219" s="90" t="s">
        <v>39</v>
      </c>
      <c r="Q219" s="91">
        <f t="shared" si="27"/>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28"/>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89">
        <f>SUMIFS(Table1[Estimação (horas)],Table1[Tabela],Plano_V3!E220,Table1[Campo],Plano_V3!F220)</f>
        <v>0.6</v>
      </c>
      <c r="J220" s="189">
        <f t="shared" si="37"/>
        <v>7.4999999999999997E-2</v>
      </c>
      <c r="K220" s="189">
        <f>SUMIFS(Table1[Horas efetivas],Table1[Tabela],Plano_V3!E220,Table1[Campo],Plano_V3!F220)</f>
        <v>0.6</v>
      </c>
      <c r="L220" s="189">
        <f t="shared" si="38"/>
        <v>7.4999999999999997E-2</v>
      </c>
      <c r="M220" s="183"/>
      <c r="N220" s="183">
        <f t="shared" si="39"/>
        <v>1</v>
      </c>
      <c r="O220" s="183">
        <f t="shared" si="40"/>
        <v>1</v>
      </c>
      <c r="P220" s="90" t="s">
        <v>39</v>
      </c>
      <c r="Q220" s="91">
        <f t="shared" si="27"/>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28"/>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89">
        <f>SUMIFS(Table1[Estimação (horas)],Table1[Tabela],Plano_V3!E221,Table1[Campo],Plano_V3!F221)</f>
        <v>0.6</v>
      </c>
      <c r="J221" s="189">
        <f t="shared" si="37"/>
        <v>7.4999999999999997E-2</v>
      </c>
      <c r="K221" s="189">
        <f>SUMIFS(Table1[Horas efetivas],Table1[Tabela],Plano_V3!E221,Table1[Campo],Plano_V3!F221)</f>
        <v>0.6</v>
      </c>
      <c r="L221" s="189">
        <f t="shared" si="38"/>
        <v>7.4999999999999997E-2</v>
      </c>
      <c r="M221" s="183"/>
      <c r="N221" s="183">
        <f t="shared" si="39"/>
        <v>1</v>
      </c>
      <c r="O221" s="183">
        <f t="shared" si="40"/>
        <v>1</v>
      </c>
      <c r="P221" s="90" t="s">
        <v>39</v>
      </c>
      <c r="Q221" s="91">
        <f t="shared" si="27"/>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28"/>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89">
        <f>SUMIFS(Table1[Estimação (horas)],Table1[Tabela],Plano_V3!E222,Table1[Campo],Plano_V3!F222)</f>
        <v>0.6</v>
      </c>
      <c r="J222" s="189">
        <f t="shared" si="37"/>
        <v>7.4999999999999997E-2</v>
      </c>
      <c r="K222" s="189">
        <f>SUMIFS(Table1[Horas efetivas],Table1[Tabela],Plano_V3!E222,Table1[Campo],Plano_V3!F222)</f>
        <v>0.6</v>
      </c>
      <c r="L222" s="189">
        <f t="shared" si="38"/>
        <v>7.4999999999999997E-2</v>
      </c>
      <c r="M222" s="183"/>
      <c r="N222" s="183">
        <f t="shared" si="39"/>
        <v>1</v>
      </c>
      <c r="O222" s="183">
        <f t="shared" si="40"/>
        <v>1</v>
      </c>
      <c r="P222" s="90" t="s">
        <v>39</v>
      </c>
      <c r="Q222" s="91">
        <f t="shared" si="27"/>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28"/>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89">
        <f>SUMIFS(Table1[Estimação (horas)],Table1[Tabela],Plano_V3!E223,Table1[Campo],Plano_V3!F223)</f>
        <v>0.6</v>
      </c>
      <c r="J223" s="189">
        <f t="shared" si="37"/>
        <v>7.4999999999999997E-2</v>
      </c>
      <c r="K223" s="189">
        <f>SUMIFS(Table1[Horas efetivas],Table1[Tabela],Plano_V3!E223,Table1[Campo],Plano_V3!F223)</f>
        <v>0.6</v>
      </c>
      <c r="L223" s="189">
        <f t="shared" si="38"/>
        <v>7.4999999999999997E-2</v>
      </c>
      <c r="M223" s="183"/>
      <c r="N223" s="183">
        <f t="shared" si="39"/>
        <v>1</v>
      </c>
      <c r="O223" s="183">
        <f t="shared" si="40"/>
        <v>1</v>
      </c>
      <c r="P223" s="90" t="s">
        <v>39</v>
      </c>
      <c r="Q223" s="91">
        <f t="shared" si="27"/>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28"/>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89">
        <f>SUMIFS(Table1[Estimação (horas)],Table1[Tabela],Plano_V3!E224,Table1[Campo],Plano_V3!F224)</f>
        <v>0.6</v>
      </c>
      <c r="J224" s="189">
        <f t="shared" si="37"/>
        <v>7.4999999999999997E-2</v>
      </c>
      <c r="K224" s="189">
        <f>SUMIFS(Table1[Horas efetivas],Table1[Tabela],Plano_V3!E224,Table1[Campo],Plano_V3!F224)</f>
        <v>0.6</v>
      </c>
      <c r="L224" s="189">
        <f t="shared" si="38"/>
        <v>7.4999999999999997E-2</v>
      </c>
      <c r="M224" s="183"/>
      <c r="N224" s="183">
        <f t="shared" si="39"/>
        <v>1</v>
      </c>
      <c r="O224" s="183">
        <f t="shared" si="40"/>
        <v>1</v>
      </c>
      <c r="P224" s="90" t="s">
        <v>39</v>
      </c>
      <c r="Q224" s="91">
        <f t="shared" si="27"/>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28"/>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89">
        <f>SUMIFS(Table1[Estimação (horas)],Table1[Tabela],Plano_V3!E225,Table1[Campo],Plano_V3!F225)</f>
        <v>0.6</v>
      </c>
      <c r="J225" s="189">
        <f t="shared" si="37"/>
        <v>7.4999999999999997E-2</v>
      </c>
      <c r="K225" s="189">
        <f>SUMIFS(Table1[Horas efetivas],Table1[Tabela],Plano_V3!E225,Table1[Campo],Plano_V3!F225)</f>
        <v>0.6</v>
      </c>
      <c r="L225" s="189">
        <f t="shared" si="38"/>
        <v>7.4999999999999997E-2</v>
      </c>
      <c r="M225" s="183"/>
      <c r="N225" s="183">
        <f t="shared" si="39"/>
        <v>1</v>
      </c>
      <c r="O225" s="183">
        <f t="shared" si="40"/>
        <v>1</v>
      </c>
      <c r="P225" s="90" t="s">
        <v>39</v>
      </c>
      <c r="Q225" s="91">
        <f t="shared" ref="Q225:Q291" si="41">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28"/>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89">
        <f>SUMIFS(Table1[Estimação (horas)],Table1[Tabela],Plano_V3!E226,Table1[Campo],Plano_V3!F226)</f>
        <v>0.6</v>
      </c>
      <c r="J226" s="189">
        <f t="shared" si="37"/>
        <v>7.4999999999999997E-2</v>
      </c>
      <c r="K226" s="189">
        <f>SUMIFS(Table1[Horas efetivas],Table1[Tabela],Plano_V3!E226,Table1[Campo],Plano_V3!F226)</f>
        <v>0.15</v>
      </c>
      <c r="L226" s="189">
        <f t="shared" si="38"/>
        <v>1.8749999999999999E-2</v>
      </c>
      <c r="M226" s="183"/>
      <c r="N226" s="183">
        <f t="shared" si="39"/>
        <v>0.25</v>
      </c>
      <c r="O226" s="183">
        <f t="shared" si="40"/>
        <v>0.25</v>
      </c>
      <c r="P226" s="90" t="s">
        <v>39</v>
      </c>
      <c r="Q226" s="91">
        <f t="shared" si="41"/>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2">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89">
        <f>SUMIFS(Table1[Estimação (horas)],Table1[Tabela],Plano_V3!E227,Table1[Campo],Plano_V3!F227)</f>
        <v>0.6</v>
      </c>
      <c r="J227" s="189">
        <f t="shared" si="37"/>
        <v>7.4999999999999997E-2</v>
      </c>
      <c r="K227" s="189">
        <f>SUMIFS(Table1[Horas efetivas],Table1[Tabela],Plano_V3!E227,Table1[Campo],Plano_V3!F227)</f>
        <v>0.6</v>
      </c>
      <c r="L227" s="189">
        <f t="shared" si="38"/>
        <v>7.4999999999999997E-2</v>
      </c>
      <c r="M227" s="183"/>
      <c r="N227" s="183">
        <f t="shared" si="39"/>
        <v>1</v>
      </c>
      <c r="O227" s="183">
        <f t="shared" si="40"/>
        <v>1</v>
      </c>
      <c r="P227" s="90" t="s">
        <v>39</v>
      </c>
      <c r="Q227" s="91">
        <f t="shared" si="41"/>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2"/>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89">
        <f>SUMIFS(Table1[Estimação (horas)],Table1[Tabela],Plano_V3!E228,Table1[Campo],Plano_V3!F228)</f>
        <v>0.6</v>
      </c>
      <c r="J228" s="189">
        <f t="shared" si="37"/>
        <v>7.4999999999999997E-2</v>
      </c>
      <c r="K228" s="189">
        <f>SUMIFS(Table1[Horas efetivas],Table1[Tabela],Plano_V3!E228,Table1[Campo],Plano_V3!F228)</f>
        <v>0.6</v>
      </c>
      <c r="L228" s="189">
        <f t="shared" si="38"/>
        <v>7.4999999999999997E-2</v>
      </c>
      <c r="M228" s="183"/>
      <c r="N228" s="183">
        <f t="shared" si="39"/>
        <v>1</v>
      </c>
      <c r="O228" s="183">
        <f t="shared" si="40"/>
        <v>1</v>
      </c>
      <c r="P228" s="90" t="s">
        <v>39</v>
      </c>
      <c r="Q228" s="91">
        <f t="shared" si="41"/>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2"/>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89">
        <f>SUMIFS(Table1[Estimação (horas)],Table1[Tabela],Plano_V3!E229,Table1[Campo],Plano_V3!F229)</f>
        <v>0.6</v>
      </c>
      <c r="J229" s="189">
        <f t="shared" si="37"/>
        <v>7.4999999999999997E-2</v>
      </c>
      <c r="K229" s="189">
        <f>SUMIFS(Table1[Horas efetivas],Table1[Tabela],Plano_V3!E229,Table1[Campo],Plano_V3!F229)</f>
        <v>0.6</v>
      </c>
      <c r="L229" s="189">
        <f t="shared" si="38"/>
        <v>7.4999999999999997E-2</v>
      </c>
      <c r="M229" s="183"/>
      <c r="N229" s="183">
        <f t="shared" si="39"/>
        <v>1</v>
      </c>
      <c r="O229" s="183">
        <f t="shared" si="40"/>
        <v>1</v>
      </c>
      <c r="P229" s="90" t="s">
        <v>39</v>
      </c>
      <c r="Q229" s="91">
        <f t="shared" si="41"/>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2"/>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89">
        <f>SUMIFS(Table1[Estimação (horas)],Table1[Tabela],Plano_V3!E230,Table1[Campo],Plano_V3!F230)</f>
        <v>0.6</v>
      </c>
      <c r="J230" s="189">
        <f t="shared" si="37"/>
        <v>7.4999999999999997E-2</v>
      </c>
      <c r="K230" s="189">
        <f>SUMIFS(Table1[Horas efetivas],Table1[Tabela],Plano_V3!E230,Table1[Campo],Plano_V3!F230)</f>
        <v>0.6</v>
      </c>
      <c r="L230" s="189">
        <f t="shared" si="38"/>
        <v>7.4999999999999997E-2</v>
      </c>
      <c r="M230" s="183"/>
      <c r="N230" s="183">
        <f t="shared" si="39"/>
        <v>1</v>
      </c>
      <c r="O230" s="183">
        <f t="shared" si="40"/>
        <v>1</v>
      </c>
      <c r="P230" s="90" t="s">
        <v>39</v>
      </c>
      <c r="Q230" s="91">
        <f t="shared" si="41"/>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2"/>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89">
        <f>SUMIFS(Table1[Estimação (horas)],Table1[Tabela],Plano_V3!E231,Table1[Campo],Plano_V3!F231)</f>
        <v>0.6</v>
      </c>
      <c r="J231" s="189">
        <f t="shared" si="37"/>
        <v>7.4999999999999997E-2</v>
      </c>
      <c r="K231" s="189">
        <f>SUMIFS(Table1[Horas efetivas],Table1[Tabela],Plano_V3!E231,Table1[Campo],Plano_V3!F231)</f>
        <v>0.6</v>
      </c>
      <c r="L231" s="189">
        <f t="shared" si="38"/>
        <v>7.4999999999999997E-2</v>
      </c>
      <c r="M231" s="183"/>
      <c r="N231" s="183">
        <f t="shared" si="39"/>
        <v>1</v>
      </c>
      <c r="O231" s="183">
        <f t="shared" si="40"/>
        <v>1</v>
      </c>
      <c r="P231" s="90" t="s">
        <v>39</v>
      </c>
      <c r="Q231" s="91">
        <f t="shared" si="41"/>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2"/>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89">
        <f>SUMIFS(Table1[Estimação (horas)],Table1[Tabela],Plano_V3!E232,Table1[Campo],Plano_V3!F232)</f>
        <v>0.6</v>
      </c>
      <c r="J232" s="189">
        <f t="shared" si="37"/>
        <v>7.4999999999999997E-2</v>
      </c>
      <c r="K232" s="189">
        <f>SUMIFS(Table1[Horas efetivas],Table1[Tabela],Plano_V3!E232,Table1[Campo],Plano_V3!F232)</f>
        <v>0.6</v>
      </c>
      <c r="L232" s="189">
        <f t="shared" si="38"/>
        <v>7.4999999999999997E-2</v>
      </c>
      <c r="M232" s="183"/>
      <c r="N232" s="183">
        <f t="shared" si="39"/>
        <v>1</v>
      </c>
      <c r="O232" s="183">
        <f t="shared" si="40"/>
        <v>1</v>
      </c>
      <c r="P232" s="90" t="s">
        <v>39</v>
      </c>
      <c r="Q232" s="91">
        <f t="shared" si="41"/>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2"/>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89">
        <f>SUMIFS(Table1[Estimação (horas)],Table1[Tabela],Plano_V3!E233,Table1[Campo],Plano_V3!F233)</f>
        <v>0.6</v>
      </c>
      <c r="J233" s="189">
        <f t="shared" si="37"/>
        <v>7.4999999999999997E-2</v>
      </c>
      <c r="K233" s="189">
        <f>SUMIFS(Table1[Horas efetivas],Table1[Tabela],Plano_V3!E233,Table1[Campo],Plano_V3!F233)</f>
        <v>0.6</v>
      </c>
      <c r="L233" s="189">
        <f t="shared" si="38"/>
        <v>7.4999999999999997E-2</v>
      </c>
      <c r="M233" s="183"/>
      <c r="N233" s="183">
        <f t="shared" si="39"/>
        <v>1</v>
      </c>
      <c r="O233" s="183">
        <f t="shared" si="40"/>
        <v>1</v>
      </c>
      <c r="P233" s="90" t="s">
        <v>39</v>
      </c>
      <c r="Q233" s="91">
        <f t="shared" si="41"/>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89">
        <f>SUMIFS(Table1[Estimação (horas)],Table1[Tabela],Plano_V3!E234,Table1[Campo],Plano_V3!F234)</f>
        <v>0.6</v>
      </c>
      <c r="J234" s="189">
        <f>I234/8</f>
        <v>7.4999999999999997E-2</v>
      </c>
      <c r="K234" s="189">
        <f>SUMIFS(Table1[Horas efetivas],Table1[Tabela],Plano_V3!E234,Table1[Campo],Plano_V3!F234)</f>
        <v>0</v>
      </c>
      <c r="L234" s="189">
        <f>K234/8</f>
        <v>0</v>
      </c>
      <c r="M234" s="183"/>
      <c r="N234" s="183">
        <f>L234/J234</f>
        <v>0</v>
      </c>
      <c r="O234" s="183">
        <f t="shared" si="40"/>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E235&amp;F235</f>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89">
        <f>SUMIFS(Table1[Estimação (horas)],Table1[Tabela],Plano_V3!E235,Table1[Campo],Plano_V3!F235)</f>
        <v>0.6</v>
      </c>
      <c r="J235" s="189">
        <f>I235/8</f>
        <v>7.4999999999999997E-2</v>
      </c>
      <c r="K235" s="189">
        <f>SUMIFS(Table1[Horas efetivas],Table1[Tabela],Plano_V3!E235,Table1[Campo],Plano_V3!F235)</f>
        <v>0</v>
      </c>
      <c r="L235" s="189">
        <f>K235/8</f>
        <v>0</v>
      </c>
      <c r="M235" s="183"/>
      <c r="N235" s="183">
        <f>L235/J235</f>
        <v>0</v>
      </c>
      <c r="O235" s="183">
        <f t="shared" si="40"/>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2"/>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89">
        <f>SUMIFS(Table1[Estimação (horas)],Table1[Tabela],Plano_V3!E236,Table1[Campo],Plano_V3!F236)</f>
        <v>8.5</v>
      </c>
      <c r="J236" s="189">
        <f t="shared" si="37"/>
        <v>1.0625</v>
      </c>
      <c r="K236" s="189">
        <f>SUMIFS(Table1[Horas efetivas],Table1[Tabela],Plano_V3!E236,Table1[Campo],Plano_V3!F236)</f>
        <v>8.5</v>
      </c>
      <c r="L236" s="189">
        <f t="shared" si="38"/>
        <v>1.0625</v>
      </c>
      <c r="M236" s="183"/>
      <c r="N236" s="183">
        <f t="shared" si="39"/>
        <v>1</v>
      </c>
      <c r="O236" s="183">
        <f t="shared" si="40"/>
        <v>1</v>
      </c>
      <c r="P236" s="90" t="s">
        <v>39</v>
      </c>
      <c r="Q236" s="91">
        <f t="shared" si="41"/>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2"/>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37"/>
        <v>1.0625</v>
      </c>
      <c r="K237" s="189">
        <f>SUMIFS(Table1[Horas efetivas],Table1[Tabela],Plano_V3!E237,Table1[Campo],Plano_V3!F237)</f>
        <v>8.5</v>
      </c>
      <c r="L237" s="189">
        <f t="shared" si="38"/>
        <v>1.0625</v>
      </c>
      <c r="M237" s="183"/>
      <c r="N237" s="183">
        <f t="shared" si="39"/>
        <v>1</v>
      </c>
      <c r="O237" s="183">
        <f t="shared" si="40"/>
        <v>1</v>
      </c>
      <c r="P237" s="90" t="s">
        <v>39</v>
      </c>
      <c r="Q237" s="91">
        <f t="shared" si="41"/>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2"/>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37"/>
        <v>1.0625</v>
      </c>
      <c r="K238" s="189">
        <f>SUMIFS(Table1[Horas efetivas],Table1[Tabela],Plano_V3!E238,Table1[Campo],Plano_V3!F238)</f>
        <v>8.5</v>
      </c>
      <c r="L238" s="189">
        <f t="shared" si="38"/>
        <v>1.0625</v>
      </c>
      <c r="M238" s="183"/>
      <c r="N238" s="183">
        <f t="shared" si="39"/>
        <v>1</v>
      </c>
      <c r="O238" s="183">
        <f t="shared" si="40"/>
        <v>1</v>
      </c>
      <c r="P238" s="90" t="s">
        <v>39</v>
      </c>
      <c r="Q238" s="91">
        <f t="shared" si="41"/>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2"/>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37"/>
        <v>1.0625</v>
      </c>
      <c r="K239" s="189">
        <f>SUMIFS(Table1[Horas efetivas],Table1[Tabela],Plano_V3!E239,Table1[Campo],Plano_V3!F239)</f>
        <v>8.5</v>
      </c>
      <c r="L239" s="189">
        <f t="shared" si="38"/>
        <v>1.0625</v>
      </c>
      <c r="M239" s="183"/>
      <c r="N239" s="183">
        <f t="shared" si="39"/>
        <v>1</v>
      </c>
      <c r="O239" s="183">
        <f t="shared" si="40"/>
        <v>1</v>
      </c>
      <c r="P239" s="90" t="s">
        <v>39</v>
      </c>
      <c r="Q239" s="91">
        <f t="shared" si="41"/>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2"/>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37"/>
        <v>1.0625</v>
      </c>
      <c r="K240" s="189">
        <f>SUMIFS(Table1[Horas efetivas],Table1[Tabela],Plano_V3!E240,Table1[Campo],Plano_V3!F240)</f>
        <v>8.5</v>
      </c>
      <c r="L240" s="189">
        <f t="shared" si="38"/>
        <v>1.0625</v>
      </c>
      <c r="M240" s="183"/>
      <c r="N240" s="183">
        <f t="shared" si="39"/>
        <v>1</v>
      </c>
      <c r="O240" s="183">
        <f t="shared" si="40"/>
        <v>1</v>
      </c>
      <c r="P240" s="90" t="s">
        <v>39</v>
      </c>
      <c r="Q240" s="91">
        <f t="shared" si="41"/>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2"/>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37"/>
        <v>1.0625</v>
      </c>
      <c r="K241" s="189">
        <f>SUMIFS(Table1[Horas efetivas],Table1[Tabela],Plano_V3!E241,Table1[Campo],Plano_V3!F241)</f>
        <v>8.5</v>
      </c>
      <c r="L241" s="189">
        <f t="shared" si="38"/>
        <v>1.0625</v>
      </c>
      <c r="M241" s="183"/>
      <c r="N241" s="183">
        <f t="shared" si="39"/>
        <v>1</v>
      </c>
      <c r="O241" s="183">
        <f t="shared" si="40"/>
        <v>1</v>
      </c>
      <c r="P241" s="90" t="s">
        <v>39</v>
      </c>
      <c r="Q241" s="91">
        <f t="shared" si="41"/>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2"/>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37"/>
        <v>1.0625</v>
      </c>
      <c r="K242" s="189">
        <f>SUMIFS(Table1[Horas efetivas],Table1[Tabela],Plano_V3!E242,Table1[Campo],Plano_V3!F242)</f>
        <v>8.5</v>
      </c>
      <c r="L242" s="189">
        <f t="shared" si="38"/>
        <v>1.0625</v>
      </c>
      <c r="M242" s="183"/>
      <c r="N242" s="183">
        <f t="shared" si="39"/>
        <v>1</v>
      </c>
      <c r="O242" s="183">
        <f t="shared" si="40"/>
        <v>1</v>
      </c>
      <c r="P242" s="90" t="s">
        <v>39</v>
      </c>
      <c r="Q242" s="91">
        <f t="shared" si="41"/>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2"/>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37"/>
        <v>1.0625</v>
      </c>
      <c r="K243" s="189">
        <f>SUMIFS(Table1[Horas efetivas],Table1[Tabela],Plano_V3!E243,Table1[Campo],Plano_V3!F243)</f>
        <v>8.5</v>
      </c>
      <c r="L243" s="189">
        <f t="shared" si="38"/>
        <v>1.0625</v>
      </c>
      <c r="M243" s="183"/>
      <c r="N243" s="183">
        <f t="shared" si="39"/>
        <v>1</v>
      </c>
      <c r="O243" s="183">
        <f t="shared" si="40"/>
        <v>1</v>
      </c>
      <c r="P243" s="90" t="s">
        <v>39</v>
      </c>
      <c r="Q243" s="91">
        <f t="shared" si="41"/>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2"/>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89">
        <f>SUMIFS(Table1[Estimação (horas)],Table1[Tabela],Plano_V3!E244,Table1[Campo],Plano_V3!F244)</f>
        <v>0.5</v>
      </c>
      <c r="J244" s="189">
        <f t="shared" si="37"/>
        <v>6.25E-2</v>
      </c>
      <c r="K244" s="189">
        <f>SUMIFS(Table1[Horas efetivas],Table1[Tabela],Plano_V3!E244,Table1[Campo],Plano_V3!F244)</f>
        <v>0.5</v>
      </c>
      <c r="L244" s="189">
        <f t="shared" si="38"/>
        <v>6.25E-2</v>
      </c>
      <c r="M244" s="183"/>
      <c r="N244" s="183">
        <f t="shared" si="39"/>
        <v>1</v>
      </c>
      <c r="O244" s="183">
        <f t="shared" si="40"/>
        <v>1</v>
      </c>
      <c r="P244" s="90" t="s">
        <v>39</v>
      </c>
      <c r="Q244" s="91">
        <f t="shared" si="41"/>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2"/>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89">
        <f>SUMIFS(Table1[Estimação (horas)],Table1[Tabela],Plano_V3!E245,Table1[Campo],Plano_V3!F245)</f>
        <v>0.6</v>
      </c>
      <c r="J245" s="189">
        <f t="shared" si="37"/>
        <v>7.4999999999999997E-2</v>
      </c>
      <c r="K245" s="189">
        <f>SUMIFS(Table1[Horas efetivas],Table1[Tabela],Plano_V3!E245,Table1[Campo],Plano_V3!F245)</f>
        <v>0.6</v>
      </c>
      <c r="L245" s="189">
        <f t="shared" si="38"/>
        <v>7.4999999999999997E-2</v>
      </c>
      <c r="M245" s="183"/>
      <c r="N245" s="183">
        <f t="shared" si="39"/>
        <v>1</v>
      </c>
      <c r="O245" s="183">
        <f t="shared" si="40"/>
        <v>1</v>
      </c>
      <c r="P245" s="90" t="s">
        <v>39</v>
      </c>
      <c r="Q245" s="91">
        <f t="shared" si="41"/>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2"/>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89">
        <f>SUMIFS(Table1[Estimação (horas)],Table1[Tabela],Plano_V3!E246,Table1[Campo],Plano_V3!F246)</f>
        <v>0.6</v>
      </c>
      <c r="J246" s="189">
        <f t="shared" si="37"/>
        <v>7.4999999999999997E-2</v>
      </c>
      <c r="K246" s="189">
        <f>SUMIFS(Table1[Horas efetivas],Table1[Tabela],Plano_V3!E246,Table1[Campo],Plano_V3!F246)</f>
        <v>0.6</v>
      </c>
      <c r="L246" s="189">
        <f t="shared" si="38"/>
        <v>7.4999999999999997E-2</v>
      </c>
      <c r="M246" s="183"/>
      <c r="N246" s="183">
        <f t="shared" si="39"/>
        <v>1</v>
      </c>
      <c r="O246" s="183">
        <f t="shared" si="40"/>
        <v>1</v>
      </c>
      <c r="P246" s="90" t="s">
        <v>39</v>
      </c>
      <c r="Q246" s="91">
        <f t="shared" si="41"/>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2"/>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89">
        <f>SUMIFS(Table1[Estimação (horas)],Table1[Tabela],Plano_V3!E247,Table1[Campo],Plano_V3!F247)</f>
        <v>0.5</v>
      </c>
      <c r="J247" s="189">
        <f t="shared" si="37"/>
        <v>6.25E-2</v>
      </c>
      <c r="K247" s="189">
        <f>SUMIFS(Table1[Horas efetivas],Table1[Tabela],Plano_V3!E247,Table1[Campo],Plano_V3!F247)</f>
        <v>0.5</v>
      </c>
      <c r="L247" s="189">
        <f t="shared" si="38"/>
        <v>6.25E-2</v>
      </c>
      <c r="M247" s="183"/>
      <c r="N247" s="183">
        <f t="shared" si="39"/>
        <v>1</v>
      </c>
      <c r="O247" s="183">
        <f t="shared" si="40"/>
        <v>1</v>
      </c>
      <c r="P247" s="90" t="s">
        <v>39</v>
      </c>
      <c r="Q247" s="91">
        <f t="shared" si="41"/>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2"/>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89">
        <f>SUMIFS(Table1[Estimação (horas)],Table1[Tabela],Plano_V3!E248,Table1[Campo],Plano_V3!F248)</f>
        <v>0.6</v>
      </c>
      <c r="J248" s="189">
        <f t="shared" si="37"/>
        <v>7.4999999999999997E-2</v>
      </c>
      <c r="K248" s="189">
        <f>SUMIFS(Table1[Horas efetivas],Table1[Tabela],Plano_V3!E248,Table1[Campo],Plano_V3!F248)</f>
        <v>0.6</v>
      </c>
      <c r="L248" s="189">
        <f t="shared" si="38"/>
        <v>7.4999999999999997E-2</v>
      </c>
      <c r="M248" s="183"/>
      <c r="N248" s="183">
        <f t="shared" si="39"/>
        <v>1</v>
      </c>
      <c r="O248" s="183">
        <f t="shared" si="40"/>
        <v>1</v>
      </c>
      <c r="P248" s="90" t="s">
        <v>39</v>
      </c>
      <c r="Q248" s="91">
        <f t="shared" si="41"/>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2"/>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89">
        <f>SUMIFS(Table1[Estimação (horas)],Table1[Tabela],Plano_V3!E249,Table1[Campo],Plano_V3!F249)</f>
        <v>0.6</v>
      </c>
      <c r="J249" s="189">
        <f t="shared" si="37"/>
        <v>7.4999999999999997E-2</v>
      </c>
      <c r="K249" s="189">
        <f>SUMIFS(Table1[Horas efetivas],Table1[Tabela],Plano_V3!E249,Table1[Campo],Plano_V3!F249)</f>
        <v>0.6</v>
      </c>
      <c r="L249" s="189">
        <f t="shared" si="38"/>
        <v>7.4999999999999997E-2</v>
      </c>
      <c r="M249" s="183"/>
      <c r="N249" s="183">
        <f t="shared" si="39"/>
        <v>1</v>
      </c>
      <c r="O249" s="183">
        <f t="shared" si="40"/>
        <v>1</v>
      </c>
      <c r="P249" s="90" t="s">
        <v>39</v>
      </c>
      <c r="Q249" s="91">
        <f t="shared" si="41"/>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2"/>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89">
        <f>SUMIFS(Table1[Estimação (horas)],Table1[Tabela],Plano_V3!E250,Table1[Campo],Plano_V3!F250)</f>
        <v>0.6</v>
      </c>
      <c r="J250" s="189">
        <f t="shared" si="37"/>
        <v>7.4999999999999997E-2</v>
      </c>
      <c r="K250" s="189">
        <f>SUMIFS(Table1[Horas efetivas],Table1[Tabela],Plano_V3!E250,Table1[Campo],Plano_V3!F250)</f>
        <v>0.6</v>
      </c>
      <c r="L250" s="189">
        <f t="shared" si="38"/>
        <v>7.4999999999999997E-2</v>
      </c>
      <c r="M250" s="183"/>
      <c r="N250" s="183">
        <f t="shared" si="39"/>
        <v>1</v>
      </c>
      <c r="O250" s="183">
        <f t="shared" si="40"/>
        <v>1</v>
      </c>
      <c r="P250" s="90" t="s">
        <v>39</v>
      </c>
      <c r="Q250" s="91">
        <f t="shared" si="41"/>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2"/>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89">
        <f>SUMIFS(Table1[Estimação (horas)],Table1[Tabela],Plano_V3!E251,Table1[Campo],Plano_V3!F251)</f>
        <v>0.6</v>
      </c>
      <c r="J251" s="189">
        <f t="shared" si="37"/>
        <v>7.4999999999999997E-2</v>
      </c>
      <c r="K251" s="189">
        <f>SUMIFS(Table1[Horas efetivas],Table1[Tabela],Plano_V3!E251,Table1[Campo],Plano_V3!F251)</f>
        <v>0.6</v>
      </c>
      <c r="L251" s="189">
        <f t="shared" si="38"/>
        <v>7.4999999999999997E-2</v>
      </c>
      <c r="M251" s="183"/>
      <c r="N251" s="183">
        <f t="shared" si="39"/>
        <v>1</v>
      </c>
      <c r="O251" s="183">
        <f t="shared" si="40"/>
        <v>1</v>
      </c>
      <c r="P251" s="90" t="s">
        <v>39</v>
      </c>
      <c r="Q251" s="91">
        <f t="shared" si="41"/>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2"/>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89">
        <f>SUMIFS(Table1[Estimação (horas)],Table1[Tabela],Plano_V3!E252,Table1[Campo],Plano_V3!F252)</f>
        <v>0.6</v>
      </c>
      <c r="J252" s="189">
        <f t="shared" si="37"/>
        <v>7.4999999999999997E-2</v>
      </c>
      <c r="K252" s="189">
        <f>SUMIFS(Table1[Horas efetivas],Table1[Tabela],Plano_V3!E252,Table1[Campo],Plano_V3!F252)</f>
        <v>0.6</v>
      </c>
      <c r="L252" s="189">
        <f t="shared" si="38"/>
        <v>7.4999999999999997E-2</v>
      </c>
      <c r="M252" s="183"/>
      <c r="N252" s="183">
        <f t="shared" si="39"/>
        <v>1</v>
      </c>
      <c r="O252" s="183">
        <f t="shared" si="40"/>
        <v>1</v>
      </c>
      <c r="P252" s="90" t="s">
        <v>39</v>
      </c>
      <c r="Q252" s="91">
        <f t="shared" si="41"/>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2"/>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89">
        <f>SUMIFS(Table1[Estimação (horas)],Table1[Tabela],Plano_V3!E253,Table1[Campo],Plano_V3!F253)</f>
        <v>0.6</v>
      </c>
      <c r="J253" s="189">
        <f t="shared" si="37"/>
        <v>7.4999999999999997E-2</v>
      </c>
      <c r="K253" s="189">
        <f>SUMIFS(Table1[Horas efetivas],Table1[Tabela],Plano_V3!E253,Table1[Campo],Plano_V3!F253)</f>
        <v>0.6</v>
      </c>
      <c r="L253" s="189">
        <f t="shared" si="38"/>
        <v>7.4999999999999997E-2</v>
      </c>
      <c r="M253" s="183"/>
      <c r="N253" s="183">
        <f t="shared" si="39"/>
        <v>1</v>
      </c>
      <c r="O253" s="183">
        <f t="shared" si="40"/>
        <v>1</v>
      </c>
      <c r="P253" s="90" t="s">
        <v>39</v>
      </c>
      <c r="Q253" s="91">
        <f t="shared" si="41"/>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2"/>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89">
        <f>SUMIFS(Table1[Estimação (horas)],Table1[Tabela],Plano_V3!E254,Table1[Campo],Plano_V3!F254)</f>
        <v>0.6</v>
      </c>
      <c r="J254" s="189">
        <f t="shared" si="37"/>
        <v>7.4999999999999997E-2</v>
      </c>
      <c r="K254" s="189">
        <f>SUMIFS(Table1[Horas efetivas],Table1[Tabela],Plano_V3!E254,Table1[Campo],Plano_V3!F254)</f>
        <v>0.6</v>
      </c>
      <c r="L254" s="189">
        <f t="shared" si="38"/>
        <v>7.4999999999999997E-2</v>
      </c>
      <c r="M254" s="183"/>
      <c r="N254" s="183">
        <f t="shared" si="39"/>
        <v>1</v>
      </c>
      <c r="O254" s="183">
        <f t="shared" si="40"/>
        <v>1</v>
      </c>
      <c r="P254" s="90" t="s">
        <v>39</v>
      </c>
      <c r="Q254" s="91">
        <f t="shared" si="41"/>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2"/>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89">
        <f>SUMIFS(Table1[Estimação (horas)],Table1[Tabela],Plano_V3!E255,Table1[Campo],Plano_V3!F255)</f>
        <v>0.6</v>
      </c>
      <c r="J255" s="189">
        <f t="shared" si="37"/>
        <v>7.4999999999999997E-2</v>
      </c>
      <c r="K255" s="189">
        <f>SUMIFS(Table1[Horas efetivas],Table1[Tabela],Plano_V3!E255,Table1[Campo],Plano_V3!F255)</f>
        <v>0.6</v>
      </c>
      <c r="L255" s="189">
        <f t="shared" si="38"/>
        <v>7.4999999999999997E-2</v>
      </c>
      <c r="M255" s="183"/>
      <c r="N255" s="183">
        <f t="shared" si="39"/>
        <v>1</v>
      </c>
      <c r="O255" s="183">
        <f t="shared" si="40"/>
        <v>1</v>
      </c>
      <c r="P255" s="90" t="s">
        <v>39</v>
      </c>
      <c r="Q255" s="91">
        <f t="shared" si="41"/>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2"/>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89">
        <f>SUMIFS(Table1[Estimação (horas)],Table1[Tabela],Plano_V3!E256,Table1[Campo],Plano_V3!F256)</f>
        <v>0.6</v>
      </c>
      <c r="J256" s="189">
        <f t="shared" si="37"/>
        <v>7.4999999999999997E-2</v>
      </c>
      <c r="K256" s="189">
        <f>SUMIFS(Table1[Horas efetivas],Table1[Tabela],Plano_V3!E256,Table1[Campo],Plano_V3!F256)</f>
        <v>0.6</v>
      </c>
      <c r="L256" s="189">
        <f t="shared" si="38"/>
        <v>7.4999999999999997E-2</v>
      </c>
      <c r="M256" s="183"/>
      <c r="N256" s="183">
        <f t="shared" si="39"/>
        <v>1</v>
      </c>
      <c r="O256" s="183">
        <f t="shared" si="40"/>
        <v>1</v>
      </c>
      <c r="P256" s="90" t="s">
        <v>39</v>
      </c>
      <c r="Q256" s="91">
        <f t="shared" si="41"/>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2"/>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89">
        <f>SUMIFS(Table1[Estimação (horas)],Table1[Tabela],Plano_V3!E257,Table1[Campo],Plano_V3!F257)</f>
        <v>0.6</v>
      </c>
      <c r="J257" s="189">
        <f t="shared" si="37"/>
        <v>7.4999999999999997E-2</v>
      </c>
      <c r="K257" s="189">
        <f>SUMIFS(Table1[Horas efetivas],Table1[Tabela],Plano_V3!E257,Table1[Campo],Plano_V3!F257)</f>
        <v>0.6</v>
      </c>
      <c r="L257" s="189">
        <f t="shared" si="38"/>
        <v>7.4999999999999997E-2</v>
      </c>
      <c r="M257" s="183"/>
      <c r="N257" s="183">
        <f t="shared" si="39"/>
        <v>1</v>
      </c>
      <c r="O257" s="183">
        <f t="shared" si="40"/>
        <v>1</v>
      </c>
      <c r="P257" s="90" t="s">
        <v>39</v>
      </c>
      <c r="Q257" s="91">
        <f t="shared" si="41"/>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2"/>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89">
        <f>SUMIFS(Table1[Estimação (horas)],Table1[Tabela],Plano_V3!E258,Table1[Campo],Plano_V3!F258)</f>
        <v>0.6</v>
      </c>
      <c r="J258" s="189">
        <f t="shared" si="37"/>
        <v>7.4999999999999997E-2</v>
      </c>
      <c r="K258" s="189">
        <f>SUMIFS(Table1[Horas efetivas],Table1[Tabela],Plano_V3!E258,Table1[Campo],Plano_V3!F258)</f>
        <v>0.6</v>
      </c>
      <c r="L258" s="189">
        <f t="shared" si="38"/>
        <v>7.4999999999999997E-2</v>
      </c>
      <c r="M258" s="183"/>
      <c r="N258" s="183">
        <f t="shared" si="39"/>
        <v>1</v>
      </c>
      <c r="O258" s="183">
        <f t="shared" si="40"/>
        <v>1</v>
      </c>
      <c r="P258" s="90" t="s">
        <v>39</v>
      </c>
      <c r="Q258" s="91">
        <f t="shared" si="41"/>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2"/>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89">
        <f>SUMIFS(Table1[Estimação (horas)],Table1[Tabela],Plano_V3!E259,Table1[Campo],Plano_V3!F259)</f>
        <v>0.6</v>
      </c>
      <c r="J259" s="189">
        <f t="shared" si="37"/>
        <v>7.4999999999999997E-2</v>
      </c>
      <c r="K259" s="189">
        <f>SUMIFS(Table1[Horas efetivas],Table1[Tabela],Plano_V3!E259,Table1[Campo],Plano_V3!F259)</f>
        <v>0.6</v>
      </c>
      <c r="L259" s="189">
        <f t="shared" si="38"/>
        <v>7.4999999999999997E-2</v>
      </c>
      <c r="M259" s="183"/>
      <c r="N259" s="183">
        <f t="shared" si="39"/>
        <v>1</v>
      </c>
      <c r="O259" s="183">
        <f t="shared" si="40"/>
        <v>1</v>
      </c>
      <c r="P259" s="90" t="s">
        <v>39</v>
      </c>
      <c r="Q259" s="91">
        <f t="shared" si="41"/>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2"/>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89">
        <f>SUMIFS(Table1[Estimação (horas)],Table1[Tabela],Plano_V3!E260,Table1[Campo],Plano_V3!F260)</f>
        <v>0.6</v>
      </c>
      <c r="J260" s="189">
        <f t="shared" si="37"/>
        <v>7.4999999999999997E-2</v>
      </c>
      <c r="K260" s="189">
        <f>SUMIFS(Table1[Horas efetivas],Table1[Tabela],Plano_V3!E260,Table1[Campo],Plano_V3!F260)</f>
        <v>0.6</v>
      </c>
      <c r="L260" s="189">
        <f t="shared" si="38"/>
        <v>7.4999999999999997E-2</v>
      </c>
      <c r="M260" s="183"/>
      <c r="N260" s="183">
        <f t="shared" si="39"/>
        <v>1</v>
      </c>
      <c r="O260" s="183">
        <f t="shared" si="40"/>
        <v>1</v>
      </c>
      <c r="P260" s="90" t="s">
        <v>39</v>
      </c>
      <c r="Q260" s="91">
        <f t="shared" si="41"/>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2"/>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89">
        <f>SUMIFS(Table1[Estimação (horas)],Table1[Tabela],Plano_V3!E261,Table1[Campo],Plano_V3!F261)</f>
        <v>0.5</v>
      </c>
      <c r="J261" s="189">
        <f t="shared" si="37"/>
        <v>6.25E-2</v>
      </c>
      <c r="K261" s="189">
        <f>SUMIFS(Table1[Horas efetivas],Table1[Tabela],Plano_V3!E261,Table1[Campo],Plano_V3!F261)</f>
        <v>0.5</v>
      </c>
      <c r="L261" s="189">
        <f t="shared" si="38"/>
        <v>6.25E-2</v>
      </c>
      <c r="M261" s="183"/>
      <c r="N261" s="183">
        <f t="shared" si="39"/>
        <v>1</v>
      </c>
      <c r="O261" s="183">
        <f t="shared" si="40"/>
        <v>1</v>
      </c>
      <c r="P261" s="90" t="s">
        <v>39</v>
      </c>
      <c r="Q261" s="91">
        <f t="shared" si="41"/>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2"/>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89">
        <f>SUMIFS(Table1[Estimação (horas)],Table1[Tabela],Plano_V3!E262,Table1[Campo],Plano_V3!F262)</f>
        <v>0.6</v>
      </c>
      <c r="J262" s="189">
        <f t="shared" si="37"/>
        <v>7.4999999999999997E-2</v>
      </c>
      <c r="K262" s="189">
        <f>SUMIFS(Table1[Horas efetivas],Table1[Tabela],Plano_V3!E262,Table1[Campo],Plano_V3!F262)</f>
        <v>0.6</v>
      </c>
      <c r="L262" s="189">
        <f t="shared" si="38"/>
        <v>7.4999999999999997E-2</v>
      </c>
      <c r="M262" s="183"/>
      <c r="N262" s="183">
        <f t="shared" si="39"/>
        <v>1</v>
      </c>
      <c r="O262" s="183">
        <f t="shared" si="40"/>
        <v>1</v>
      </c>
      <c r="P262" s="90" t="s">
        <v>39</v>
      </c>
      <c r="Q262" s="91">
        <f t="shared" si="41"/>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2"/>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89">
        <f>SUMIFS(Table1[Estimação (horas)],Table1[Tabela],Plano_V3!E263,Table1[Campo],Plano_V3!F263)</f>
        <v>0.6</v>
      </c>
      <c r="J263" s="189">
        <f t="shared" si="37"/>
        <v>7.4999999999999997E-2</v>
      </c>
      <c r="K263" s="189">
        <f>SUMIFS(Table1[Horas efetivas],Table1[Tabela],Plano_V3!E263,Table1[Campo],Plano_V3!F263)</f>
        <v>0.6</v>
      </c>
      <c r="L263" s="189">
        <f t="shared" si="38"/>
        <v>7.4999999999999997E-2</v>
      </c>
      <c r="M263" s="183"/>
      <c r="N263" s="183">
        <f t="shared" si="39"/>
        <v>1</v>
      </c>
      <c r="O263" s="183">
        <f t="shared" si="40"/>
        <v>1</v>
      </c>
      <c r="P263" s="90" t="s">
        <v>39</v>
      </c>
      <c r="Q263" s="91">
        <f t="shared" si="41"/>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2"/>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89">
        <f>SUMIFS(Table1[Estimação (horas)],Table1[Tabela],Plano_V3!E264,Table1[Campo],Plano_V3!F264)</f>
        <v>0.6</v>
      </c>
      <c r="J264" s="189">
        <f t="shared" si="37"/>
        <v>7.4999999999999997E-2</v>
      </c>
      <c r="K264" s="189">
        <f>SUMIFS(Table1[Horas efetivas],Table1[Tabela],Plano_V3!E264,Table1[Campo],Plano_V3!F264)</f>
        <v>0.6</v>
      </c>
      <c r="L264" s="189">
        <f t="shared" si="38"/>
        <v>7.4999999999999997E-2</v>
      </c>
      <c r="M264" s="183"/>
      <c r="N264" s="183">
        <f t="shared" si="39"/>
        <v>1</v>
      </c>
      <c r="O264" s="183">
        <f t="shared" si="40"/>
        <v>1</v>
      </c>
      <c r="P264" s="90" t="s">
        <v>39</v>
      </c>
      <c r="Q264" s="91">
        <f t="shared" si="41"/>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2"/>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89">
        <f>SUMIFS(Table1[Estimação (horas)],Table1[Tabela],Plano_V3!E265,Table1[Campo],Plano_V3!F265)</f>
        <v>0.6</v>
      </c>
      <c r="J265" s="189">
        <f t="shared" si="37"/>
        <v>7.4999999999999997E-2</v>
      </c>
      <c r="K265" s="189">
        <f>SUMIFS(Table1[Horas efetivas],Table1[Tabela],Plano_V3!E265,Table1[Campo],Plano_V3!F265)</f>
        <v>0.6</v>
      </c>
      <c r="L265" s="189">
        <f t="shared" si="38"/>
        <v>7.4999999999999997E-2</v>
      </c>
      <c r="M265" s="183"/>
      <c r="N265" s="183">
        <f t="shared" si="39"/>
        <v>1</v>
      </c>
      <c r="O265" s="183">
        <f t="shared" si="40"/>
        <v>1</v>
      </c>
      <c r="P265" s="90" t="s">
        <v>39</v>
      </c>
      <c r="Q265" s="91">
        <f t="shared" si="41"/>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2"/>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89">
        <f>SUMIFS(Table1[Estimação (horas)],Table1[Tabela],Plano_V3!E266,Table1[Campo],Plano_V3!F266)</f>
        <v>0.6</v>
      </c>
      <c r="J266" s="189">
        <f t="shared" si="37"/>
        <v>7.4999999999999997E-2</v>
      </c>
      <c r="K266" s="189">
        <f>SUMIFS(Table1[Horas efetivas],Table1[Tabela],Plano_V3!E266,Table1[Campo],Plano_V3!F266)</f>
        <v>0.6</v>
      </c>
      <c r="L266" s="189">
        <f t="shared" si="38"/>
        <v>7.4999999999999997E-2</v>
      </c>
      <c r="M266" s="183"/>
      <c r="N266" s="183">
        <f t="shared" si="39"/>
        <v>1</v>
      </c>
      <c r="O266" s="183">
        <f t="shared" si="40"/>
        <v>1</v>
      </c>
      <c r="P266" s="90" t="s">
        <v>39</v>
      </c>
      <c r="Q266" s="91">
        <f t="shared" si="41"/>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2"/>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89">
        <f>SUMIFS(Table1[Estimação (horas)],Table1[Tabela],Plano_V3!E267,Table1[Campo],Plano_V3!F267)</f>
        <v>0.5</v>
      </c>
      <c r="J267" s="189">
        <f t="shared" si="37"/>
        <v>6.25E-2</v>
      </c>
      <c r="K267" s="189">
        <f>SUMIFS(Table1[Horas efetivas],Table1[Tabela],Plano_V3!E267,Table1[Campo],Plano_V3!F267)</f>
        <v>0.5</v>
      </c>
      <c r="L267" s="189">
        <f t="shared" si="38"/>
        <v>6.25E-2</v>
      </c>
      <c r="M267" s="183"/>
      <c r="N267" s="183">
        <f t="shared" si="39"/>
        <v>1</v>
      </c>
      <c r="O267" s="183">
        <f t="shared" si="40"/>
        <v>1</v>
      </c>
      <c r="P267" s="90" t="s">
        <v>39</v>
      </c>
      <c r="Q267" s="91">
        <f t="shared" si="41"/>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2"/>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89">
        <f>SUMIFS(Table1[Estimação (horas)],Table1[Tabela],Plano_V3!E268,Table1[Campo],Plano_V3!F268)</f>
        <v>0.6</v>
      </c>
      <c r="J268" s="189">
        <f t="shared" si="37"/>
        <v>7.4999999999999997E-2</v>
      </c>
      <c r="K268" s="189">
        <f>SUMIFS(Table1[Horas efetivas],Table1[Tabela],Plano_V3!E268,Table1[Campo],Plano_V3!F268)</f>
        <v>0.6</v>
      </c>
      <c r="L268" s="189">
        <f t="shared" si="38"/>
        <v>7.4999999999999997E-2</v>
      </c>
      <c r="M268" s="183"/>
      <c r="N268" s="183">
        <f t="shared" si="39"/>
        <v>1</v>
      </c>
      <c r="O268" s="183">
        <f t="shared" si="40"/>
        <v>1</v>
      </c>
      <c r="P268" s="90" t="s">
        <v>39</v>
      </c>
      <c r="Q268" s="91">
        <f t="shared" si="41"/>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2"/>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89">
        <f>SUMIFS(Table1[Estimação (horas)],Table1[Tabela],Plano_V3!E269,Table1[Campo],Plano_V3!F269)</f>
        <v>0.6</v>
      </c>
      <c r="J269" s="189">
        <f t="shared" si="37"/>
        <v>7.4999999999999997E-2</v>
      </c>
      <c r="K269" s="189">
        <f>SUMIFS(Table1[Horas efetivas],Table1[Tabela],Plano_V3!E269,Table1[Campo],Plano_V3!F269)</f>
        <v>0.6</v>
      </c>
      <c r="L269" s="189">
        <f t="shared" si="38"/>
        <v>7.4999999999999997E-2</v>
      </c>
      <c r="M269" s="183"/>
      <c r="N269" s="183">
        <f t="shared" si="39"/>
        <v>1</v>
      </c>
      <c r="O269" s="183">
        <f t="shared" si="40"/>
        <v>1</v>
      </c>
      <c r="P269" s="90" t="s">
        <v>39</v>
      </c>
      <c r="Q269" s="91">
        <f t="shared" si="41"/>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2"/>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89">
        <f>SUMIFS(Table1[Estimação (horas)],Table1[Tabela],Plano_V3!E270,Table1[Campo],Plano_V3!F270)</f>
        <v>0.6</v>
      </c>
      <c r="J270" s="189">
        <f t="shared" si="37"/>
        <v>7.4999999999999997E-2</v>
      </c>
      <c r="K270" s="189">
        <f>SUMIFS(Table1[Horas efetivas],Table1[Tabela],Plano_V3!E270,Table1[Campo],Plano_V3!F270)</f>
        <v>0.6</v>
      </c>
      <c r="L270" s="189">
        <f t="shared" si="38"/>
        <v>7.4999999999999997E-2</v>
      </c>
      <c r="M270" s="183"/>
      <c r="N270" s="183">
        <f t="shared" si="39"/>
        <v>1</v>
      </c>
      <c r="O270" s="183">
        <f t="shared" si="40"/>
        <v>1</v>
      </c>
      <c r="P270" s="90" t="s">
        <v>39</v>
      </c>
      <c r="Q270" s="91">
        <f t="shared" si="41"/>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2"/>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89">
        <f>SUMIFS(Table1[Estimação (horas)],Table1[Tabela],Plano_V3!E271,Table1[Campo],Plano_V3!F271)</f>
        <v>0.5</v>
      </c>
      <c r="J271" s="189">
        <f t="shared" ref="J271:J335" si="43">I271/8</f>
        <v>6.25E-2</v>
      </c>
      <c r="K271" s="189">
        <f>SUMIFS(Table1[Horas efetivas],Table1[Tabela],Plano_V3!E271,Table1[Campo],Plano_V3!F271)</f>
        <v>0.5</v>
      </c>
      <c r="L271" s="189">
        <f t="shared" si="38"/>
        <v>6.25E-2</v>
      </c>
      <c r="M271" s="183"/>
      <c r="N271" s="183">
        <f t="shared" si="39"/>
        <v>1</v>
      </c>
      <c r="O271" s="183">
        <f t="shared" si="40"/>
        <v>1</v>
      </c>
      <c r="P271" s="90" t="s">
        <v>39</v>
      </c>
      <c r="Q271" s="91">
        <f t="shared" si="41"/>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2"/>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89">
        <f>SUMIFS(Table1[Estimação (horas)],Table1[Tabela],Plano_V3!E272,Table1[Campo],Plano_V3!F272)</f>
        <v>0.5</v>
      </c>
      <c r="J272" s="189">
        <f t="shared" si="43"/>
        <v>6.25E-2</v>
      </c>
      <c r="K272" s="189">
        <f>SUMIFS(Table1[Horas efetivas],Table1[Tabela],Plano_V3!E272,Table1[Campo],Plano_V3!F272)</f>
        <v>0.5</v>
      </c>
      <c r="L272" s="189">
        <f t="shared" ref="L272:L336" si="44">K272/8</f>
        <v>6.25E-2</v>
      </c>
      <c r="M272" s="183"/>
      <c r="N272" s="183">
        <f t="shared" ref="N272:N336" si="45">L272/J272</f>
        <v>1</v>
      </c>
      <c r="O272" s="183">
        <f t="shared" si="40"/>
        <v>1</v>
      </c>
      <c r="P272" s="90" t="s">
        <v>39</v>
      </c>
      <c r="Q272" s="91">
        <f t="shared" si="41"/>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2"/>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89">
        <f>SUMIFS(Table1[Estimação (horas)],Table1[Tabela],Plano_V3!E273,Table1[Campo],Plano_V3!F273)</f>
        <v>0.5</v>
      </c>
      <c r="J273" s="189">
        <f t="shared" si="43"/>
        <v>6.25E-2</v>
      </c>
      <c r="K273" s="189">
        <f>SUMIFS(Table1[Horas efetivas],Table1[Tabela],Plano_V3!E273,Table1[Campo],Plano_V3!F273)</f>
        <v>0.5</v>
      </c>
      <c r="L273" s="189">
        <f t="shared" si="44"/>
        <v>6.25E-2</v>
      </c>
      <c r="M273" s="183"/>
      <c r="N273" s="183">
        <f t="shared" si="45"/>
        <v>1</v>
      </c>
      <c r="O273" s="183">
        <f t="shared" si="40"/>
        <v>1</v>
      </c>
      <c r="P273" s="90" t="s">
        <v>39</v>
      </c>
      <c r="Q273" s="91">
        <f t="shared" si="41"/>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2"/>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89">
        <f>SUMIFS(Table1[Estimação (horas)],Table1[Tabela],Plano_V3!E274,Table1[Campo],Plano_V3!F274)</f>
        <v>0.5</v>
      </c>
      <c r="J274" s="189">
        <f t="shared" si="43"/>
        <v>6.25E-2</v>
      </c>
      <c r="K274" s="189">
        <f>SUMIFS(Table1[Horas efetivas],Table1[Tabela],Plano_V3!E274,Table1[Campo],Plano_V3!F274)</f>
        <v>0.5</v>
      </c>
      <c r="L274" s="189">
        <f t="shared" si="44"/>
        <v>6.25E-2</v>
      </c>
      <c r="M274" s="183"/>
      <c r="N274" s="183">
        <f t="shared" si="45"/>
        <v>1</v>
      </c>
      <c r="O274" s="183">
        <f t="shared" si="40"/>
        <v>1</v>
      </c>
      <c r="P274" s="90" t="s">
        <v>39</v>
      </c>
      <c r="Q274" s="91">
        <f t="shared" si="41"/>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2"/>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89">
        <f>SUMIFS(Table1[Estimação (horas)],Table1[Tabela],Plano_V3!E275,Table1[Campo],Plano_V3!F275)</f>
        <v>0.6</v>
      </c>
      <c r="J275" s="189">
        <f t="shared" si="43"/>
        <v>7.4999999999999997E-2</v>
      </c>
      <c r="K275" s="189">
        <f>SUMIFS(Table1[Horas efetivas],Table1[Tabela],Plano_V3!E275,Table1[Campo],Plano_V3!F275)</f>
        <v>0.6</v>
      </c>
      <c r="L275" s="189">
        <f t="shared" si="44"/>
        <v>7.4999999999999997E-2</v>
      </c>
      <c r="M275" s="183"/>
      <c r="N275" s="183">
        <f t="shared" si="45"/>
        <v>1</v>
      </c>
      <c r="O275" s="183">
        <f t="shared" si="40"/>
        <v>1</v>
      </c>
      <c r="P275" s="90" t="s">
        <v>39</v>
      </c>
      <c r="Q275" s="91">
        <f t="shared" si="41"/>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2"/>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89">
        <f>SUMIFS(Table1[Estimação (horas)],Table1[Tabela],Plano_V3!E276,Table1[Campo],Plano_V3!F276)</f>
        <v>0.6</v>
      </c>
      <c r="J276" s="189">
        <f t="shared" si="43"/>
        <v>7.4999999999999997E-2</v>
      </c>
      <c r="K276" s="189">
        <f>SUMIFS(Table1[Horas efetivas],Table1[Tabela],Plano_V3!E276,Table1[Campo],Plano_V3!F276)</f>
        <v>0.6</v>
      </c>
      <c r="L276" s="189">
        <f t="shared" si="44"/>
        <v>7.4999999999999997E-2</v>
      </c>
      <c r="M276" s="183"/>
      <c r="N276" s="183">
        <f t="shared" si="45"/>
        <v>1</v>
      </c>
      <c r="O276" s="183">
        <f t="shared" si="40"/>
        <v>1</v>
      </c>
      <c r="P276" s="90" t="s">
        <v>39</v>
      </c>
      <c r="Q276" s="91">
        <f t="shared" si="41"/>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2"/>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89">
        <f>SUMIFS(Table1[Estimação (horas)],Table1[Tabela],Plano_V3!E277,Table1[Campo],Plano_V3!F277)</f>
        <v>0.5</v>
      </c>
      <c r="J277" s="189">
        <f t="shared" si="43"/>
        <v>6.25E-2</v>
      </c>
      <c r="K277" s="189">
        <f>SUMIFS(Table1[Horas efetivas],Table1[Tabela],Plano_V3!E277,Table1[Campo],Plano_V3!F277)</f>
        <v>0.5</v>
      </c>
      <c r="L277" s="189">
        <f t="shared" si="44"/>
        <v>6.25E-2</v>
      </c>
      <c r="M277" s="183"/>
      <c r="N277" s="183">
        <f t="shared" si="45"/>
        <v>1</v>
      </c>
      <c r="O277" s="183">
        <f t="shared" si="40"/>
        <v>1</v>
      </c>
      <c r="P277" s="90" t="s">
        <v>39</v>
      </c>
      <c r="Q277" s="91">
        <f t="shared" si="41"/>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2"/>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89">
        <f>SUMIFS(Table1[Estimação (horas)],Table1[Tabela],Plano_V3!E278,Table1[Campo],Plano_V3!F278)</f>
        <v>0.5</v>
      </c>
      <c r="J278" s="189">
        <f t="shared" si="43"/>
        <v>6.25E-2</v>
      </c>
      <c r="K278" s="189">
        <f>SUMIFS(Table1[Horas efetivas],Table1[Tabela],Plano_V3!E278,Table1[Campo],Plano_V3!F278)</f>
        <v>0.5</v>
      </c>
      <c r="L278" s="189">
        <f t="shared" si="44"/>
        <v>6.25E-2</v>
      </c>
      <c r="M278" s="183"/>
      <c r="N278" s="183">
        <f t="shared" si="45"/>
        <v>1</v>
      </c>
      <c r="O278" s="183">
        <f t="shared" si="40"/>
        <v>1</v>
      </c>
      <c r="P278" s="90" t="s">
        <v>39</v>
      </c>
      <c r="Q278" s="91">
        <f t="shared" si="41"/>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89"/>
      <c r="J279" s="189"/>
      <c r="K279" s="189"/>
      <c r="L279" s="189"/>
      <c r="M279" s="183"/>
      <c r="N279" s="183"/>
      <c r="O279" s="183">
        <f t="shared" si="40"/>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2"/>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89">
        <f>SUMIFS(Table1[Estimação (horas)],Table1[Tabela],Plano_V3!E280,Table1[Campo],Plano_V3!F280)</f>
        <v>0.5</v>
      </c>
      <c r="J280" s="189">
        <f t="shared" si="43"/>
        <v>6.25E-2</v>
      </c>
      <c r="K280" s="189">
        <f>SUMIFS(Table1[Horas efetivas],Table1[Tabela],Plano_V3!E280,Table1[Campo],Plano_V3!F280)</f>
        <v>0.5</v>
      </c>
      <c r="L280" s="189">
        <f t="shared" si="44"/>
        <v>6.25E-2</v>
      </c>
      <c r="M280" s="183"/>
      <c r="N280" s="183">
        <f t="shared" si="45"/>
        <v>1</v>
      </c>
      <c r="O280" s="183">
        <f t="shared" si="40"/>
        <v>1</v>
      </c>
      <c r="P280" s="90" t="s">
        <v>39</v>
      </c>
      <c r="Q280" s="91">
        <f t="shared" si="41"/>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2"/>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89">
        <f>SUMIFS(Table1[Estimação (horas)],Table1[Tabela],Plano_V3!E281,Table1[Campo],Plano_V3!F281)</f>
        <v>0.6</v>
      </c>
      <c r="J281" s="189">
        <f t="shared" si="43"/>
        <v>7.4999999999999997E-2</v>
      </c>
      <c r="K281" s="189">
        <f>SUMIFS(Table1[Horas efetivas],Table1[Tabela],Plano_V3!E281,Table1[Campo],Plano_V3!F281)</f>
        <v>0.6</v>
      </c>
      <c r="L281" s="189">
        <f t="shared" si="44"/>
        <v>7.4999999999999997E-2</v>
      </c>
      <c r="M281" s="183"/>
      <c r="N281" s="183">
        <f t="shared" si="45"/>
        <v>1</v>
      </c>
      <c r="O281" s="183">
        <f t="shared" ref="O281:O344" si="46">N281-M281</f>
        <v>1</v>
      </c>
      <c r="P281" s="90" t="s">
        <v>39</v>
      </c>
      <c r="Q281" s="91">
        <f t="shared" si="41"/>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2"/>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89">
        <f>SUMIFS(Table1[Estimação (horas)],Table1[Tabela],Plano_V3!E282,Table1[Campo],Plano_V3!F282)</f>
        <v>0.6</v>
      </c>
      <c r="J282" s="189">
        <f t="shared" si="43"/>
        <v>7.4999999999999997E-2</v>
      </c>
      <c r="K282" s="189">
        <f>SUMIFS(Table1[Horas efetivas],Table1[Tabela],Plano_V3!E282,Table1[Campo],Plano_V3!F282)</f>
        <v>0.6</v>
      </c>
      <c r="L282" s="189">
        <f t="shared" si="44"/>
        <v>7.4999999999999997E-2</v>
      </c>
      <c r="M282" s="183"/>
      <c r="N282" s="183">
        <f t="shared" si="45"/>
        <v>1</v>
      </c>
      <c r="O282" s="183">
        <f t="shared" si="46"/>
        <v>1</v>
      </c>
      <c r="P282" s="90" t="s">
        <v>39</v>
      </c>
      <c r="Q282" s="91">
        <f t="shared" si="41"/>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2"/>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89">
        <f>SUMIFS(Table1[Estimação (horas)],Table1[Tabela],Plano_V3!E283,Table1[Campo],Plano_V3!F283)</f>
        <v>0.6</v>
      </c>
      <c r="J283" s="189">
        <f t="shared" si="43"/>
        <v>7.4999999999999997E-2</v>
      </c>
      <c r="K283" s="189">
        <f>SUMIFS(Table1[Horas efetivas],Table1[Tabela],Plano_V3!E283,Table1[Campo],Plano_V3!F283)</f>
        <v>0.6</v>
      </c>
      <c r="L283" s="189">
        <f t="shared" si="44"/>
        <v>7.4999999999999997E-2</v>
      </c>
      <c r="M283" s="183"/>
      <c r="N283" s="183">
        <f t="shared" si="45"/>
        <v>1</v>
      </c>
      <c r="O283" s="183">
        <f t="shared" si="46"/>
        <v>1</v>
      </c>
      <c r="P283" s="90" t="s">
        <v>39</v>
      </c>
      <c r="Q283" s="91">
        <f t="shared" si="41"/>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2"/>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89">
        <f>SUMIFS(Table1[Estimação (horas)],Table1[Tabela],Plano_V3!E284,Table1[Campo],Plano_V3!F284)</f>
        <v>0.6</v>
      </c>
      <c r="J284" s="189">
        <f t="shared" si="43"/>
        <v>7.4999999999999997E-2</v>
      </c>
      <c r="K284" s="189">
        <f>SUMIFS(Table1[Horas efetivas],Table1[Tabela],Plano_V3!E284,Table1[Campo],Plano_V3!F284)</f>
        <v>0.6</v>
      </c>
      <c r="L284" s="189">
        <f t="shared" si="44"/>
        <v>7.4999999999999997E-2</v>
      </c>
      <c r="M284" s="183"/>
      <c r="N284" s="183">
        <f t="shared" si="45"/>
        <v>1</v>
      </c>
      <c r="O284" s="183">
        <f t="shared" si="46"/>
        <v>1</v>
      </c>
      <c r="P284" s="90" t="s">
        <v>39</v>
      </c>
      <c r="Q284" s="91">
        <f t="shared" si="41"/>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2"/>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89">
        <f>SUMIFS(Table1[Estimação (horas)],Table1[Tabela],Plano_V3!E285,Table1[Campo],Plano_V3!F285)</f>
        <v>0.6</v>
      </c>
      <c r="J285" s="189">
        <f t="shared" si="43"/>
        <v>7.4999999999999997E-2</v>
      </c>
      <c r="K285" s="189">
        <f>SUMIFS(Table1[Horas efetivas],Table1[Tabela],Plano_V3!E285,Table1[Campo],Plano_V3!F285)</f>
        <v>0.6</v>
      </c>
      <c r="L285" s="189">
        <f t="shared" si="44"/>
        <v>7.4999999999999997E-2</v>
      </c>
      <c r="M285" s="183"/>
      <c r="N285" s="183">
        <f t="shared" si="45"/>
        <v>1</v>
      </c>
      <c r="O285" s="183">
        <f t="shared" si="46"/>
        <v>1</v>
      </c>
      <c r="P285" s="90" t="s">
        <v>39</v>
      </c>
      <c r="Q285" s="91">
        <f t="shared" si="41"/>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2"/>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89">
        <f>SUMIFS(Table1[Estimação (horas)],Table1[Tabela],Plano_V3!E286,Table1[Campo],Plano_V3!F286)</f>
        <v>0.6</v>
      </c>
      <c r="J286" s="189">
        <f t="shared" si="43"/>
        <v>7.4999999999999997E-2</v>
      </c>
      <c r="K286" s="189">
        <f>SUMIFS(Table1[Horas efetivas],Table1[Tabela],Plano_V3!E286,Table1[Campo],Plano_V3!F286)</f>
        <v>0.6</v>
      </c>
      <c r="L286" s="189">
        <f t="shared" si="44"/>
        <v>7.4999999999999997E-2</v>
      </c>
      <c r="M286" s="183"/>
      <c r="N286" s="183">
        <f t="shared" si="45"/>
        <v>1</v>
      </c>
      <c r="O286" s="183">
        <f t="shared" si="46"/>
        <v>1</v>
      </c>
      <c r="P286" s="90" t="s">
        <v>39</v>
      </c>
      <c r="Q286" s="91">
        <f t="shared" si="41"/>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2"/>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89">
        <f>SUMIFS(Table1[Estimação (horas)],Table1[Tabela],Plano_V3!E287,Table1[Campo],Plano_V3!F287)</f>
        <v>0.6</v>
      </c>
      <c r="J287" s="189">
        <f t="shared" si="43"/>
        <v>7.4999999999999997E-2</v>
      </c>
      <c r="K287" s="189">
        <f>SUMIFS(Table1[Horas efetivas],Table1[Tabela],Plano_V3!E287,Table1[Campo],Plano_V3!F287)</f>
        <v>0.6</v>
      </c>
      <c r="L287" s="189">
        <f t="shared" si="44"/>
        <v>7.4999999999999997E-2</v>
      </c>
      <c r="M287" s="183"/>
      <c r="N287" s="183">
        <f t="shared" si="45"/>
        <v>1</v>
      </c>
      <c r="O287" s="183">
        <f t="shared" si="46"/>
        <v>1</v>
      </c>
      <c r="P287" s="90" t="s">
        <v>39</v>
      </c>
      <c r="Q287" s="91">
        <f t="shared" si="41"/>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2"/>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89">
        <f>SUMIFS(Table1[Estimação (horas)],Table1[Tabela],Plano_V3!E288,Table1[Campo],Plano_V3!F288)</f>
        <v>0.6</v>
      </c>
      <c r="J288" s="189">
        <f t="shared" si="43"/>
        <v>7.4999999999999997E-2</v>
      </c>
      <c r="K288" s="189">
        <f>SUMIFS(Table1[Horas efetivas],Table1[Tabela],Plano_V3!E288,Table1[Campo],Plano_V3!F288)</f>
        <v>0.6</v>
      </c>
      <c r="L288" s="189">
        <f t="shared" si="44"/>
        <v>7.4999999999999997E-2</v>
      </c>
      <c r="M288" s="183"/>
      <c r="N288" s="183">
        <f t="shared" si="45"/>
        <v>1</v>
      </c>
      <c r="O288" s="183">
        <f t="shared" si="46"/>
        <v>1</v>
      </c>
      <c r="P288" s="90" t="s">
        <v>39</v>
      </c>
      <c r="Q288" s="91">
        <f t="shared" si="41"/>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2"/>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89">
        <f>SUMIFS(Table1[Estimação (horas)],Table1[Tabela],Plano_V3!E289,Table1[Campo],Plano_V3!F289)</f>
        <v>0.6</v>
      </c>
      <c r="J289" s="189">
        <f t="shared" si="43"/>
        <v>7.4999999999999997E-2</v>
      </c>
      <c r="K289" s="189">
        <f>SUMIFS(Table1[Horas efetivas],Table1[Tabela],Plano_V3!E289,Table1[Campo],Plano_V3!F289)</f>
        <v>0.6</v>
      </c>
      <c r="L289" s="189">
        <f t="shared" si="44"/>
        <v>7.4999999999999997E-2</v>
      </c>
      <c r="M289" s="183"/>
      <c r="N289" s="183">
        <f t="shared" si="45"/>
        <v>1</v>
      </c>
      <c r="O289" s="183">
        <f t="shared" si="46"/>
        <v>1</v>
      </c>
      <c r="P289" s="90" t="s">
        <v>39</v>
      </c>
      <c r="Q289" s="91">
        <f t="shared" si="41"/>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2"/>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89">
        <f>SUMIFS(Table1[Estimação (horas)],Table1[Tabela],Plano_V3!E290,Table1[Campo],Plano_V3!F290)</f>
        <v>0.6</v>
      </c>
      <c r="J290" s="189">
        <f t="shared" si="43"/>
        <v>7.4999999999999997E-2</v>
      </c>
      <c r="K290" s="189">
        <f>SUMIFS(Table1[Horas efetivas],Table1[Tabela],Plano_V3!E290,Table1[Campo],Plano_V3!F290)</f>
        <v>0.6</v>
      </c>
      <c r="L290" s="189">
        <f t="shared" si="44"/>
        <v>7.4999999999999997E-2</v>
      </c>
      <c r="M290" s="183"/>
      <c r="N290" s="183">
        <f t="shared" si="45"/>
        <v>1</v>
      </c>
      <c r="O290" s="183">
        <f t="shared" si="46"/>
        <v>1</v>
      </c>
      <c r="P290" s="90" t="s">
        <v>39</v>
      </c>
      <c r="Q290" s="91">
        <f t="shared" si="41"/>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2"/>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89">
        <f>SUMIFS(Table1[Estimação (horas)],Table1[Tabela],Plano_V3!E291,Table1[Campo],Plano_V3!F291)</f>
        <v>0.6</v>
      </c>
      <c r="J291" s="189">
        <f t="shared" si="43"/>
        <v>7.4999999999999997E-2</v>
      </c>
      <c r="K291" s="189">
        <f>SUMIFS(Table1[Horas efetivas],Table1[Tabela],Plano_V3!E291,Table1[Campo],Plano_V3!F291)</f>
        <v>0.6</v>
      </c>
      <c r="L291" s="189">
        <f t="shared" si="44"/>
        <v>7.4999999999999997E-2</v>
      </c>
      <c r="M291" s="183"/>
      <c r="N291" s="183">
        <f t="shared" si="45"/>
        <v>1</v>
      </c>
      <c r="O291" s="183">
        <f t="shared" si="46"/>
        <v>1</v>
      </c>
      <c r="P291" s="90" t="s">
        <v>39</v>
      </c>
      <c r="Q291" s="91">
        <f t="shared" si="41"/>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2"/>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89">
        <f>SUMIFS(Table1[Estimação (horas)],Table1[Tabela],Plano_V3!E292,Table1[Campo],Plano_V3!F292)</f>
        <v>0.6</v>
      </c>
      <c r="J292" s="189">
        <f t="shared" si="43"/>
        <v>7.4999999999999997E-2</v>
      </c>
      <c r="K292" s="189">
        <f>SUMIFS(Table1[Horas efetivas],Table1[Tabela],Plano_V3!E292,Table1[Campo],Plano_V3!F292)</f>
        <v>0.6</v>
      </c>
      <c r="L292" s="189">
        <f t="shared" si="44"/>
        <v>7.4999999999999997E-2</v>
      </c>
      <c r="M292" s="183"/>
      <c r="N292" s="183">
        <f t="shared" si="45"/>
        <v>1</v>
      </c>
      <c r="O292" s="183">
        <f t="shared" si="46"/>
        <v>1</v>
      </c>
      <c r="P292" s="90" t="s">
        <v>39</v>
      </c>
      <c r="Q292" s="91">
        <f t="shared" ref="Q292:Q355" si="47">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2"/>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89">
        <f>SUMIFS(Table1[Estimação (horas)],Table1[Tabela],Plano_V3!E293,Table1[Campo],Plano_V3!F293)</f>
        <v>0.6</v>
      </c>
      <c r="J293" s="189">
        <f t="shared" si="43"/>
        <v>7.4999999999999997E-2</v>
      </c>
      <c r="K293" s="189">
        <f>SUMIFS(Table1[Horas efetivas],Table1[Tabela],Plano_V3!E293,Table1[Campo],Plano_V3!F293)</f>
        <v>0.6</v>
      </c>
      <c r="L293" s="189">
        <f t="shared" si="44"/>
        <v>7.4999999999999997E-2</v>
      </c>
      <c r="M293" s="183"/>
      <c r="N293" s="183">
        <f t="shared" si="45"/>
        <v>1</v>
      </c>
      <c r="O293" s="183">
        <f t="shared" si="46"/>
        <v>1</v>
      </c>
      <c r="P293" s="90" t="s">
        <v>39</v>
      </c>
      <c r="Q293" s="91">
        <f t="shared" si="47"/>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48">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89">
        <f>SUMIFS(Table1[Estimação (horas)],Table1[Tabela],Plano_V3!E294,Table1[Campo],Plano_V3!F294)</f>
        <v>0.6</v>
      </c>
      <c r="J294" s="189">
        <f t="shared" si="43"/>
        <v>7.4999999999999997E-2</v>
      </c>
      <c r="K294" s="189">
        <f>SUMIFS(Table1[Horas efetivas],Table1[Tabela],Plano_V3!E294,Table1[Campo],Plano_V3!F294)</f>
        <v>0.6</v>
      </c>
      <c r="L294" s="189">
        <f t="shared" si="44"/>
        <v>7.4999999999999997E-2</v>
      </c>
      <c r="M294" s="183"/>
      <c r="N294" s="183">
        <f t="shared" si="45"/>
        <v>1</v>
      </c>
      <c r="O294" s="183">
        <f t="shared" si="46"/>
        <v>1</v>
      </c>
      <c r="P294" s="90" t="s">
        <v>39</v>
      </c>
      <c r="Q294" s="91">
        <f t="shared" si="47"/>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48"/>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89">
        <f>SUMIFS(Table1[Estimação (horas)],Table1[Tabela],Plano_V3!E295,Table1[Campo],Plano_V3!F295)</f>
        <v>0.6</v>
      </c>
      <c r="J295" s="189">
        <f t="shared" si="43"/>
        <v>7.4999999999999997E-2</v>
      </c>
      <c r="K295" s="189">
        <f>SUMIFS(Table1[Horas efetivas],Table1[Tabela],Plano_V3!E295,Table1[Campo],Plano_V3!F295)</f>
        <v>0.6</v>
      </c>
      <c r="L295" s="189">
        <f t="shared" si="44"/>
        <v>7.4999999999999997E-2</v>
      </c>
      <c r="M295" s="183"/>
      <c r="N295" s="183">
        <f t="shared" si="45"/>
        <v>1</v>
      </c>
      <c r="O295" s="183">
        <f t="shared" si="46"/>
        <v>1</v>
      </c>
      <c r="P295" s="90" t="s">
        <v>39</v>
      </c>
      <c r="Q295" s="91">
        <f t="shared" si="47"/>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48"/>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89">
        <f>SUMIFS(Table1[Estimação (horas)],Table1[Tabela],Plano_V3!E296,Table1[Campo],Plano_V3!F296)</f>
        <v>0.6</v>
      </c>
      <c r="J296" s="189">
        <f t="shared" si="43"/>
        <v>7.4999999999999997E-2</v>
      </c>
      <c r="K296" s="189">
        <f>SUMIFS(Table1[Horas efetivas],Table1[Tabela],Plano_V3!E296,Table1[Campo],Plano_V3!F296)</f>
        <v>0.6</v>
      </c>
      <c r="L296" s="189">
        <f t="shared" si="44"/>
        <v>7.4999999999999997E-2</v>
      </c>
      <c r="M296" s="183"/>
      <c r="N296" s="183">
        <f t="shared" si="45"/>
        <v>1</v>
      </c>
      <c r="O296" s="183">
        <f t="shared" si="46"/>
        <v>1</v>
      </c>
      <c r="P296" s="90" t="s">
        <v>39</v>
      </c>
      <c r="Q296" s="91">
        <f t="shared" si="47"/>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48"/>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89">
        <f>SUMIFS(Table1[Estimação (horas)],Table1[Tabela],Plano_V3!E297,Table1[Campo],Plano_V3!F297)</f>
        <v>0.6</v>
      </c>
      <c r="J297" s="189">
        <f t="shared" si="43"/>
        <v>7.4999999999999997E-2</v>
      </c>
      <c r="K297" s="189">
        <f>SUMIFS(Table1[Horas efetivas],Table1[Tabela],Plano_V3!E297,Table1[Campo],Plano_V3!F297)</f>
        <v>0.6</v>
      </c>
      <c r="L297" s="189">
        <f t="shared" si="44"/>
        <v>7.4999999999999997E-2</v>
      </c>
      <c r="M297" s="183"/>
      <c r="N297" s="183">
        <f t="shared" si="45"/>
        <v>1</v>
      </c>
      <c r="O297" s="183">
        <f t="shared" si="46"/>
        <v>1</v>
      </c>
      <c r="P297" s="90" t="s">
        <v>39</v>
      </c>
      <c r="Q297" s="91">
        <f t="shared" si="47"/>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48"/>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89">
        <f>SUMIFS(Table1[Estimação (horas)],Table1[Tabela],Plano_V3!E298,Table1[Campo],Plano_V3!F298)</f>
        <v>0.6</v>
      </c>
      <c r="J298" s="189">
        <f t="shared" si="43"/>
        <v>7.4999999999999997E-2</v>
      </c>
      <c r="K298" s="189">
        <f>SUMIFS(Table1[Horas efetivas],Table1[Tabela],Plano_V3!E298,Table1[Campo],Plano_V3!F298)</f>
        <v>0.6</v>
      </c>
      <c r="L298" s="189">
        <f t="shared" si="44"/>
        <v>7.4999999999999997E-2</v>
      </c>
      <c r="M298" s="183"/>
      <c r="N298" s="183">
        <f t="shared" si="45"/>
        <v>1</v>
      </c>
      <c r="O298" s="183">
        <f t="shared" si="46"/>
        <v>1</v>
      </c>
      <c r="P298" s="90" t="s">
        <v>39</v>
      </c>
      <c r="Q298" s="91">
        <f t="shared" si="47"/>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48"/>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89">
        <f>SUMIFS(Table1[Estimação (horas)],Table1[Tabela],Plano_V3!E299,Table1[Campo],Plano_V3!F299)</f>
        <v>0.6</v>
      </c>
      <c r="J299" s="189">
        <f t="shared" si="43"/>
        <v>7.4999999999999997E-2</v>
      </c>
      <c r="K299" s="189">
        <f>SUMIFS(Table1[Horas efetivas],Table1[Tabela],Plano_V3!E299,Table1[Campo],Plano_V3!F299)</f>
        <v>0.6</v>
      </c>
      <c r="L299" s="189">
        <f t="shared" si="44"/>
        <v>7.4999999999999997E-2</v>
      </c>
      <c r="M299" s="183"/>
      <c r="N299" s="183">
        <f t="shared" si="45"/>
        <v>1</v>
      </c>
      <c r="O299" s="183">
        <f t="shared" si="46"/>
        <v>1</v>
      </c>
      <c r="P299" s="90" t="s">
        <v>39</v>
      </c>
      <c r="Q299" s="91">
        <f t="shared" si="47"/>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48"/>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89">
        <f>SUMIFS(Table1[Estimação (horas)],Table1[Tabela],Plano_V3!E300,Table1[Campo],Plano_V3!F300)</f>
        <v>0.6</v>
      </c>
      <c r="J300" s="189">
        <f t="shared" si="43"/>
        <v>7.4999999999999997E-2</v>
      </c>
      <c r="K300" s="189">
        <f>SUMIFS(Table1[Horas efetivas],Table1[Tabela],Plano_V3!E300,Table1[Campo],Plano_V3!F300)</f>
        <v>0.6</v>
      </c>
      <c r="L300" s="189">
        <f t="shared" si="44"/>
        <v>7.4999999999999997E-2</v>
      </c>
      <c r="M300" s="183"/>
      <c r="N300" s="183">
        <f t="shared" si="45"/>
        <v>1</v>
      </c>
      <c r="O300" s="183">
        <f t="shared" si="46"/>
        <v>1</v>
      </c>
      <c r="P300" s="90" t="s">
        <v>39</v>
      </c>
      <c r="Q300" s="91">
        <f t="shared" si="47"/>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48"/>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89">
        <f>SUMIFS(Table1[Estimação (horas)],Table1[Tabela],Plano_V3!E301,Table1[Campo],Plano_V3!F301)</f>
        <v>0.6</v>
      </c>
      <c r="J301" s="189">
        <f t="shared" si="43"/>
        <v>7.4999999999999997E-2</v>
      </c>
      <c r="K301" s="189">
        <f>SUMIFS(Table1[Horas efetivas],Table1[Tabela],Plano_V3!E301,Table1[Campo],Plano_V3!F301)</f>
        <v>0.6</v>
      </c>
      <c r="L301" s="189">
        <f t="shared" si="44"/>
        <v>7.4999999999999997E-2</v>
      </c>
      <c r="M301" s="183"/>
      <c r="N301" s="183">
        <f t="shared" si="45"/>
        <v>1</v>
      </c>
      <c r="O301" s="183">
        <f t="shared" si="46"/>
        <v>1</v>
      </c>
      <c r="P301" s="90" t="s">
        <v>39</v>
      </c>
      <c r="Q301" s="91">
        <f t="shared" si="47"/>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48"/>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89">
        <f>SUMIFS(Table1[Estimação (horas)],Table1[Tabela],Plano_V3!E302,Table1[Campo],Plano_V3!F302)</f>
        <v>0.6</v>
      </c>
      <c r="J302" s="189">
        <f t="shared" si="43"/>
        <v>7.4999999999999997E-2</v>
      </c>
      <c r="K302" s="189">
        <f>SUMIFS(Table1[Horas efetivas],Table1[Tabela],Plano_V3!E302,Table1[Campo],Plano_V3!F302)</f>
        <v>0.6</v>
      </c>
      <c r="L302" s="189">
        <f t="shared" si="44"/>
        <v>7.4999999999999997E-2</v>
      </c>
      <c r="M302" s="183"/>
      <c r="N302" s="183">
        <f t="shared" si="45"/>
        <v>1</v>
      </c>
      <c r="O302" s="183">
        <f t="shared" si="46"/>
        <v>1</v>
      </c>
      <c r="P302" s="90" t="s">
        <v>39</v>
      </c>
      <c r="Q302" s="91">
        <f t="shared" si="47"/>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48"/>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89">
        <f>SUMIFS(Table1[Estimação (horas)],Table1[Tabela],Plano_V3!E303,Table1[Campo],Plano_V3!F303)</f>
        <v>0.6</v>
      </c>
      <c r="J303" s="189">
        <f t="shared" si="43"/>
        <v>7.4999999999999997E-2</v>
      </c>
      <c r="K303" s="189">
        <f>SUMIFS(Table1[Horas efetivas],Table1[Tabela],Plano_V3!E303,Table1[Campo],Plano_V3!F303)</f>
        <v>0.6</v>
      </c>
      <c r="L303" s="189">
        <f t="shared" si="44"/>
        <v>7.4999999999999997E-2</v>
      </c>
      <c r="M303" s="183"/>
      <c r="N303" s="183">
        <f t="shared" si="45"/>
        <v>1</v>
      </c>
      <c r="O303" s="183">
        <f t="shared" si="46"/>
        <v>1</v>
      </c>
      <c r="P303" s="90" t="s">
        <v>39</v>
      </c>
      <c r="Q303" s="91">
        <f t="shared" si="47"/>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48"/>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89">
        <f>SUMIFS(Table1[Estimação (horas)],Table1[Tabela],Plano_V3!E304,Table1[Campo],Plano_V3!F304)</f>
        <v>0.6</v>
      </c>
      <c r="J304" s="189">
        <f t="shared" si="43"/>
        <v>7.4999999999999997E-2</v>
      </c>
      <c r="K304" s="189">
        <f>SUMIFS(Table1[Horas efetivas],Table1[Tabela],Plano_V3!E304,Table1[Campo],Plano_V3!F304)</f>
        <v>0.6</v>
      </c>
      <c r="L304" s="189">
        <f t="shared" si="44"/>
        <v>7.4999999999999997E-2</v>
      </c>
      <c r="M304" s="183"/>
      <c r="N304" s="183">
        <f t="shared" si="45"/>
        <v>1</v>
      </c>
      <c r="O304" s="183">
        <f t="shared" si="46"/>
        <v>1</v>
      </c>
      <c r="P304" s="90" t="s">
        <v>39</v>
      </c>
      <c r="Q304" s="91">
        <f t="shared" si="47"/>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48"/>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89">
        <f>SUMIFS(Table1[Estimação (horas)],Table1[Tabela],Plano_V3!E305,Table1[Campo],Plano_V3!F305)</f>
        <v>0.6</v>
      </c>
      <c r="J305" s="189">
        <f t="shared" si="43"/>
        <v>7.4999999999999997E-2</v>
      </c>
      <c r="K305" s="189">
        <f>SUMIFS(Table1[Horas efetivas],Table1[Tabela],Plano_V3!E305,Table1[Campo],Plano_V3!F305)</f>
        <v>0.6</v>
      </c>
      <c r="L305" s="189">
        <f t="shared" si="44"/>
        <v>7.4999999999999997E-2</v>
      </c>
      <c r="M305" s="183"/>
      <c r="N305" s="183">
        <f t="shared" si="45"/>
        <v>1</v>
      </c>
      <c r="O305" s="183">
        <f t="shared" si="46"/>
        <v>1</v>
      </c>
      <c r="P305" s="90" t="s">
        <v>39</v>
      </c>
      <c r="Q305" s="91">
        <f t="shared" si="47"/>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48"/>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89">
        <f>SUMIFS(Table1[Estimação (horas)],Table1[Tabela],Plano_V3!E306,Table1[Campo],Plano_V3!F306)</f>
        <v>0.6</v>
      </c>
      <c r="J306" s="189">
        <f t="shared" si="43"/>
        <v>7.4999999999999997E-2</v>
      </c>
      <c r="K306" s="189">
        <f>SUMIFS(Table1[Horas efetivas],Table1[Tabela],Plano_V3!E306,Table1[Campo],Plano_V3!F306)</f>
        <v>0.6</v>
      </c>
      <c r="L306" s="189">
        <f t="shared" si="44"/>
        <v>7.4999999999999997E-2</v>
      </c>
      <c r="M306" s="183"/>
      <c r="N306" s="183">
        <f t="shared" si="45"/>
        <v>1</v>
      </c>
      <c r="O306" s="183">
        <f t="shared" si="46"/>
        <v>1</v>
      </c>
      <c r="P306" s="90" t="s">
        <v>39</v>
      </c>
      <c r="Q306" s="91">
        <f t="shared" si="47"/>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48"/>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89">
        <f>SUMIFS(Table1[Estimação (horas)],Table1[Tabela],Plano_V3!E307,Table1[Campo],Plano_V3!F307)</f>
        <v>0.6</v>
      </c>
      <c r="J307" s="189">
        <f t="shared" si="43"/>
        <v>7.4999999999999997E-2</v>
      </c>
      <c r="K307" s="189">
        <f>SUMIFS(Table1[Horas efetivas],Table1[Tabela],Plano_V3!E307,Table1[Campo],Plano_V3!F307)</f>
        <v>0.6</v>
      </c>
      <c r="L307" s="189">
        <f t="shared" si="44"/>
        <v>7.4999999999999997E-2</v>
      </c>
      <c r="M307" s="183"/>
      <c r="N307" s="183">
        <f t="shared" si="45"/>
        <v>1</v>
      </c>
      <c r="O307" s="183">
        <f t="shared" si="46"/>
        <v>1</v>
      </c>
      <c r="P307" s="90" t="s">
        <v>39</v>
      </c>
      <c r="Q307" s="91">
        <f t="shared" si="47"/>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48"/>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89">
        <f>SUMIFS(Table1[Estimação (horas)],Table1[Tabela],Plano_V3!E308,Table1[Campo],Plano_V3!F308)</f>
        <v>0.6</v>
      </c>
      <c r="J308" s="189">
        <f t="shared" si="43"/>
        <v>7.4999999999999997E-2</v>
      </c>
      <c r="K308" s="189">
        <f>SUMIFS(Table1[Horas efetivas],Table1[Tabela],Plano_V3!E308,Table1[Campo],Plano_V3!F308)</f>
        <v>0.6</v>
      </c>
      <c r="L308" s="189">
        <f t="shared" si="44"/>
        <v>7.4999999999999997E-2</v>
      </c>
      <c r="M308" s="183"/>
      <c r="N308" s="183">
        <f t="shared" si="45"/>
        <v>1</v>
      </c>
      <c r="O308" s="183">
        <f t="shared" si="46"/>
        <v>1</v>
      </c>
      <c r="P308" s="90" t="s">
        <v>39</v>
      </c>
      <c r="Q308" s="91">
        <f t="shared" si="47"/>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48"/>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89">
        <f>SUMIFS(Table1[Estimação (horas)],Table1[Tabela],Plano_V3!E309,Table1[Campo],Plano_V3!F309)</f>
        <v>0.6</v>
      </c>
      <c r="J309" s="189">
        <f t="shared" si="43"/>
        <v>7.4999999999999997E-2</v>
      </c>
      <c r="K309" s="189">
        <f>SUMIFS(Table1[Horas efetivas],Table1[Tabela],Plano_V3!E309,Table1[Campo],Plano_V3!F309)</f>
        <v>0.6</v>
      </c>
      <c r="L309" s="189">
        <f t="shared" si="44"/>
        <v>7.4999999999999997E-2</v>
      </c>
      <c r="M309" s="183"/>
      <c r="N309" s="183">
        <f t="shared" si="45"/>
        <v>1</v>
      </c>
      <c r="O309" s="183">
        <f t="shared" si="46"/>
        <v>1</v>
      </c>
      <c r="P309" s="90" t="s">
        <v>39</v>
      </c>
      <c r="Q309" s="91">
        <f t="shared" si="47"/>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48"/>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89">
        <f>SUMIFS(Table1[Estimação (horas)],Table1[Tabela],Plano_V3!E310,Table1[Campo],Plano_V3!F310)</f>
        <v>0.6</v>
      </c>
      <c r="J310" s="189">
        <f t="shared" si="43"/>
        <v>7.4999999999999997E-2</v>
      </c>
      <c r="K310" s="189">
        <f>SUMIFS(Table1[Horas efetivas],Table1[Tabela],Plano_V3!E310,Table1[Campo],Plano_V3!F310)</f>
        <v>0.6</v>
      </c>
      <c r="L310" s="189">
        <f t="shared" si="44"/>
        <v>7.4999999999999997E-2</v>
      </c>
      <c r="M310" s="183"/>
      <c r="N310" s="183">
        <f t="shared" si="45"/>
        <v>1</v>
      </c>
      <c r="O310" s="183">
        <f t="shared" si="46"/>
        <v>1</v>
      </c>
      <c r="P310" s="90" t="s">
        <v>39</v>
      </c>
      <c r="Q310" s="91">
        <f t="shared" si="47"/>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48"/>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89">
        <f>SUMIFS(Table1[Estimação (horas)],Table1[Tabela],Plano_V3!E311,Table1[Campo],Plano_V3!F311)</f>
        <v>0.6</v>
      </c>
      <c r="J311" s="189">
        <f t="shared" si="43"/>
        <v>7.4999999999999997E-2</v>
      </c>
      <c r="K311" s="189">
        <f>SUMIFS(Table1[Horas efetivas],Table1[Tabela],Plano_V3!E311,Table1[Campo],Plano_V3!F311)</f>
        <v>0.6</v>
      </c>
      <c r="L311" s="189">
        <f t="shared" si="44"/>
        <v>7.4999999999999997E-2</v>
      </c>
      <c r="M311" s="183"/>
      <c r="N311" s="183">
        <f t="shared" si="45"/>
        <v>1</v>
      </c>
      <c r="O311" s="183">
        <f t="shared" si="46"/>
        <v>1</v>
      </c>
      <c r="P311" s="90" t="s">
        <v>39</v>
      </c>
      <c r="Q311" s="91">
        <f t="shared" si="47"/>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48"/>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89">
        <f>SUMIFS(Table1[Estimação (horas)],Table1[Tabela],Plano_V3!E312,Table1[Campo],Plano_V3!F312)</f>
        <v>0.6</v>
      </c>
      <c r="J312" s="189">
        <f t="shared" si="43"/>
        <v>7.4999999999999997E-2</v>
      </c>
      <c r="K312" s="189">
        <f>SUMIFS(Table1[Horas efetivas],Table1[Tabela],Plano_V3!E312,Table1[Campo],Plano_V3!F312)</f>
        <v>0.6</v>
      </c>
      <c r="L312" s="189">
        <f t="shared" si="44"/>
        <v>7.4999999999999997E-2</v>
      </c>
      <c r="M312" s="183"/>
      <c r="N312" s="183">
        <f t="shared" si="45"/>
        <v>1</v>
      </c>
      <c r="O312" s="183">
        <f t="shared" si="46"/>
        <v>1</v>
      </c>
      <c r="P312" s="90" t="s">
        <v>39</v>
      </c>
      <c r="Q312" s="91">
        <f t="shared" si="47"/>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48"/>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89">
        <f>SUMIFS(Table1[Estimação (horas)],Table1[Tabela],Plano_V3!E313,Table1[Campo],Plano_V3!F313)</f>
        <v>0.6</v>
      </c>
      <c r="J313" s="189">
        <f t="shared" si="43"/>
        <v>7.4999999999999997E-2</v>
      </c>
      <c r="K313" s="189">
        <f>SUMIFS(Table1[Horas efetivas],Table1[Tabela],Plano_V3!E313,Table1[Campo],Plano_V3!F313)</f>
        <v>0.6</v>
      </c>
      <c r="L313" s="189">
        <f t="shared" si="44"/>
        <v>7.4999999999999997E-2</v>
      </c>
      <c r="M313" s="183"/>
      <c r="N313" s="183">
        <f t="shared" si="45"/>
        <v>1</v>
      </c>
      <c r="O313" s="183">
        <f t="shared" si="46"/>
        <v>1</v>
      </c>
      <c r="P313" s="90" t="s">
        <v>39</v>
      </c>
      <c r="Q313" s="91">
        <f t="shared" si="47"/>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48"/>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89">
        <f>SUMIFS(Table1[Estimação (horas)],Table1[Tabela],Plano_V3!E314,Table1[Campo],Plano_V3!F314)</f>
        <v>0.6</v>
      </c>
      <c r="J314" s="189">
        <f t="shared" si="43"/>
        <v>7.4999999999999997E-2</v>
      </c>
      <c r="K314" s="189">
        <f>SUMIFS(Table1[Horas efetivas],Table1[Tabela],Plano_V3!E314,Table1[Campo],Plano_V3!F314)</f>
        <v>0.6</v>
      </c>
      <c r="L314" s="189">
        <f t="shared" si="44"/>
        <v>7.4999999999999997E-2</v>
      </c>
      <c r="M314" s="183"/>
      <c r="N314" s="183">
        <f t="shared" si="45"/>
        <v>1</v>
      </c>
      <c r="O314" s="183">
        <f t="shared" si="46"/>
        <v>1</v>
      </c>
      <c r="P314" s="90" t="s">
        <v>39</v>
      </c>
      <c r="Q314" s="91">
        <f t="shared" si="47"/>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48"/>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89">
        <f>SUMIFS(Table1[Estimação (horas)],Table1[Tabela],Plano_V3!E315,Table1[Campo],Plano_V3!F315)</f>
        <v>0.5</v>
      </c>
      <c r="J315" s="189">
        <f t="shared" si="43"/>
        <v>6.25E-2</v>
      </c>
      <c r="K315" s="189">
        <f>SUMIFS(Table1[Horas efetivas],Table1[Tabela],Plano_V3!E315,Table1[Campo],Plano_V3!F315)</f>
        <v>0.5</v>
      </c>
      <c r="L315" s="189">
        <f t="shared" si="44"/>
        <v>6.25E-2</v>
      </c>
      <c r="M315" s="183"/>
      <c r="N315" s="183">
        <f t="shared" si="45"/>
        <v>1</v>
      </c>
      <c r="O315" s="183">
        <f t="shared" si="46"/>
        <v>1</v>
      </c>
      <c r="P315" s="90" t="s">
        <v>39</v>
      </c>
      <c r="Q315" s="91">
        <f t="shared" si="47"/>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48"/>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89">
        <f>SUMIFS(Table1[Estimação (horas)],Table1[Tabela],Plano_V3!E316,Table1[Campo],Plano_V3!F316)</f>
        <v>0.6</v>
      </c>
      <c r="J316" s="189">
        <f t="shared" si="43"/>
        <v>7.4999999999999997E-2</v>
      </c>
      <c r="K316" s="189">
        <f>SUMIFS(Table1[Horas efetivas],Table1[Tabela],Plano_V3!E316,Table1[Campo],Plano_V3!F316)</f>
        <v>0.6</v>
      </c>
      <c r="L316" s="189">
        <f t="shared" si="44"/>
        <v>7.4999999999999997E-2</v>
      </c>
      <c r="M316" s="183"/>
      <c r="N316" s="183">
        <f t="shared" si="45"/>
        <v>1</v>
      </c>
      <c r="O316" s="183">
        <f t="shared" si="46"/>
        <v>1</v>
      </c>
      <c r="P316" s="90" t="s">
        <v>39</v>
      </c>
      <c r="Q316" s="91">
        <f t="shared" si="47"/>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48"/>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89">
        <f>SUMIFS(Table1[Estimação (horas)],Table1[Tabela],Plano_V3!E317,Table1[Campo],Plano_V3!F317)</f>
        <v>0.5</v>
      </c>
      <c r="J317" s="189">
        <f t="shared" si="43"/>
        <v>6.25E-2</v>
      </c>
      <c r="K317" s="189">
        <f>SUMIFS(Table1[Horas efetivas],Table1[Tabela],Plano_V3!E317,Table1[Campo],Plano_V3!F317)</f>
        <v>0.5</v>
      </c>
      <c r="L317" s="189">
        <f t="shared" si="44"/>
        <v>6.25E-2</v>
      </c>
      <c r="M317" s="183"/>
      <c r="N317" s="183">
        <f t="shared" si="45"/>
        <v>1</v>
      </c>
      <c r="O317" s="183">
        <f t="shared" si="46"/>
        <v>1</v>
      </c>
      <c r="P317" s="90" t="s">
        <v>39</v>
      </c>
      <c r="Q317" s="91">
        <f t="shared" si="47"/>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48"/>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89">
        <f>SUMIFS(Table1[Estimação (horas)],Table1[Tabela],Plano_V3!E318,Table1[Campo],Plano_V3!F318)</f>
        <v>0.6</v>
      </c>
      <c r="J318" s="189">
        <f t="shared" si="43"/>
        <v>7.4999999999999997E-2</v>
      </c>
      <c r="K318" s="189">
        <f>SUMIFS(Table1[Horas efetivas],Table1[Tabela],Plano_V3!E318,Table1[Campo],Plano_V3!F318)</f>
        <v>0.6</v>
      </c>
      <c r="L318" s="189">
        <f t="shared" si="44"/>
        <v>7.4999999999999997E-2</v>
      </c>
      <c r="M318" s="183"/>
      <c r="N318" s="183">
        <f t="shared" si="45"/>
        <v>1</v>
      </c>
      <c r="O318" s="183">
        <f t="shared" si="46"/>
        <v>1</v>
      </c>
      <c r="P318" s="90" t="s">
        <v>39</v>
      </c>
      <c r="Q318" s="91">
        <f t="shared" si="47"/>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48"/>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89">
        <f>SUMIFS(Table1[Estimação (horas)],Table1[Tabela],Plano_V3!E319,Table1[Campo],Plano_V3!F319)</f>
        <v>0.6</v>
      </c>
      <c r="J319" s="189">
        <f t="shared" si="43"/>
        <v>7.4999999999999997E-2</v>
      </c>
      <c r="K319" s="189">
        <f>SUMIFS(Table1[Horas efetivas],Table1[Tabela],Plano_V3!E319,Table1[Campo],Plano_V3!F319)</f>
        <v>0.6</v>
      </c>
      <c r="L319" s="189">
        <f t="shared" si="44"/>
        <v>7.4999999999999997E-2</v>
      </c>
      <c r="M319" s="183"/>
      <c r="N319" s="183">
        <f t="shared" si="45"/>
        <v>1</v>
      </c>
      <c r="O319" s="183">
        <f t="shared" si="46"/>
        <v>1</v>
      </c>
      <c r="P319" s="90" t="s">
        <v>39</v>
      </c>
      <c r="Q319" s="91">
        <f t="shared" si="47"/>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48"/>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89">
        <f>SUMIFS(Table1[Estimação (horas)],Table1[Tabela],Plano_V3!E320,Table1[Campo],Plano_V3!F320)</f>
        <v>0.6</v>
      </c>
      <c r="J320" s="189">
        <f t="shared" si="43"/>
        <v>7.4999999999999997E-2</v>
      </c>
      <c r="K320" s="189">
        <f>SUMIFS(Table1[Horas efetivas],Table1[Tabela],Plano_V3!E320,Table1[Campo],Plano_V3!F320)</f>
        <v>0.6</v>
      </c>
      <c r="L320" s="189">
        <f t="shared" si="44"/>
        <v>7.4999999999999997E-2</v>
      </c>
      <c r="M320" s="183"/>
      <c r="N320" s="183">
        <f t="shared" si="45"/>
        <v>1</v>
      </c>
      <c r="O320" s="183">
        <f t="shared" si="46"/>
        <v>1</v>
      </c>
      <c r="P320" s="90" t="s">
        <v>39</v>
      </c>
      <c r="Q320" s="91">
        <f t="shared" si="47"/>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48"/>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89">
        <f>SUMIFS(Table1[Estimação (horas)],Table1[Tabela],Plano_V3!E321,Table1[Campo],Plano_V3!F321)</f>
        <v>0.5</v>
      </c>
      <c r="J321" s="189">
        <f t="shared" si="43"/>
        <v>6.25E-2</v>
      </c>
      <c r="K321" s="189">
        <f>SUMIFS(Table1[Horas efetivas],Table1[Tabela],Plano_V3!E321,Table1[Campo],Plano_V3!F321)</f>
        <v>0.5</v>
      </c>
      <c r="L321" s="189">
        <f t="shared" si="44"/>
        <v>6.25E-2</v>
      </c>
      <c r="M321" s="183"/>
      <c r="N321" s="183">
        <f t="shared" si="45"/>
        <v>1</v>
      </c>
      <c r="O321" s="183">
        <f t="shared" si="46"/>
        <v>1</v>
      </c>
      <c r="P321" s="90" t="s">
        <v>39</v>
      </c>
      <c r="Q321" s="91">
        <f t="shared" si="47"/>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48"/>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89">
        <f>SUMIFS(Table1[Estimação (horas)],Table1[Tabela],Plano_V3!E322,Table1[Campo],Plano_V3!F322)</f>
        <v>0.6</v>
      </c>
      <c r="J322" s="189">
        <f t="shared" si="43"/>
        <v>7.4999999999999997E-2</v>
      </c>
      <c r="K322" s="189">
        <f>SUMIFS(Table1[Horas efetivas],Table1[Tabela],Plano_V3!E322,Table1[Campo],Plano_V3!F322)</f>
        <v>0.6</v>
      </c>
      <c r="L322" s="189">
        <f t="shared" si="44"/>
        <v>7.4999999999999997E-2</v>
      </c>
      <c r="M322" s="183"/>
      <c r="N322" s="183">
        <f t="shared" si="45"/>
        <v>1</v>
      </c>
      <c r="O322" s="183">
        <f t="shared" si="46"/>
        <v>1</v>
      </c>
      <c r="P322" s="90" t="s">
        <v>39</v>
      </c>
      <c r="Q322" s="91">
        <f t="shared" si="47"/>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48"/>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89">
        <f>SUMIFS(Table1[Estimação (horas)],Table1[Tabela],Plano_V3!E323,Table1[Campo],Plano_V3!F323)</f>
        <v>0.5</v>
      </c>
      <c r="J323" s="189">
        <f t="shared" si="43"/>
        <v>6.25E-2</v>
      </c>
      <c r="K323" s="189">
        <f>SUMIFS(Table1[Horas efetivas],Table1[Tabela],Plano_V3!E323,Table1[Campo],Plano_V3!F323)</f>
        <v>0.5</v>
      </c>
      <c r="L323" s="189">
        <f t="shared" si="44"/>
        <v>6.25E-2</v>
      </c>
      <c r="M323" s="183"/>
      <c r="N323" s="183">
        <f t="shared" si="45"/>
        <v>1</v>
      </c>
      <c r="O323" s="183">
        <f t="shared" si="46"/>
        <v>1</v>
      </c>
      <c r="P323" s="90" t="s">
        <v>39</v>
      </c>
      <c r="Q323" s="91">
        <f t="shared" si="47"/>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48"/>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89">
        <f>SUMIFS(Table1[Estimação (horas)],Table1[Tabela],Plano_V3!E324,Table1[Campo],Plano_V3!F324)</f>
        <v>0.6</v>
      </c>
      <c r="J324" s="189">
        <f t="shared" si="43"/>
        <v>7.4999999999999997E-2</v>
      </c>
      <c r="K324" s="189">
        <f>SUMIFS(Table1[Horas efetivas],Table1[Tabela],Plano_V3!E324,Table1[Campo],Plano_V3!F324)</f>
        <v>0.6</v>
      </c>
      <c r="L324" s="189">
        <f t="shared" si="44"/>
        <v>7.4999999999999997E-2</v>
      </c>
      <c r="M324" s="183"/>
      <c r="N324" s="183">
        <f t="shared" si="45"/>
        <v>1</v>
      </c>
      <c r="O324" s="183">
        <f t="shared" si="46"/>
        <v>1</v>
      </c>
      <c r="P324" s="90" t="s">
        <v>39</v>
      </c>
      <c r="Q324" s="91">
        <f t="shared" si="47"/>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48"/>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89">
        <f>SUMIFS(Table1[Estimação (horas)],Table1[Tabela],Plano_V3!E325,Table1[Campo],Plano_V3!F325)</f>
        <v>0.6</v>
      </c>
      <c r="J325" s="189">
        <f t="shared" si="43"/>
        <v>7.4999999999999997E-2</v>
      </c>
      <c r="K325" s="189">
        <f>SUMIFS(Table1[Horas efetivas],Table1[Tabela],Plano_V3!E325,Table1[Campo],Plano_V3!F325)</f>
        <v>0.6</v>
      </c>
      <c r="L325" s="189">
        <f t="shared" si="44"/>
        <v>7.4999999999999997E-2</v>
      </c>
      <c r="M325" s="183"/>
      <c r="N325" s="183">
        <f t="shared" si="45"/>
        <v>1</v>
      </c>
      <c r="O325" s="183">
        <f t="shared" si="46"/>
        <v>1</v>
      </c>
      <c r="P325" s="90" t="s">
        <v>39</v>
      </c>
      <c r="Q325" s="91">
        <f t="shared" si="47"/>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48"/>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89">
        <f>SUMIFS(Table1[Estimação (horas)],Table1[Tabela],Plano_V3!E326,Table1[Campo],Plano_V3!F326)</f>
        <v>0.6</v>
      </c>
      <c r="J326" s="189">
        <f t="shared" si="43"/>
        <v>7.4999999999999997E-2</v>
      </c>
      <c r="K326" s="189">
        <f>SUMIFS(Table1[Horas efetivas],Table1[Tabela],Plano_V3!E326,Table1[Campo],Plano_V3!F326)</f>
        <v>0.6</v>
      </c>
      <c r="L326" s="189">
        <f t="shared" si="44"/>
        <v>7.4999999999999997E-2</v>
      </c>
      <c r="M326" s="183"/>
      <c r="N326" s="183">
        <f t="shared" si="45"/>
        <v>1</v>
      </c>
      <c r="O326" s="183">
        <f t="shared" si="46"/>
        <v>1</v>
      </c>
      <c r="P326" s="90" t="s">
        <v>39</v>
      </c>
      <c r="Q326" s="91">
        <f t="shared" si="47"/>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48"/>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89">
        <f>SUMIFS(Table1[Estimação (horas)],Table1[Tabela],Plano_V3!E327,Table1[Campo],Plano_V3!F327)</f>
        <v>0.6</v>
      </c>
      <c r="J327" s="189">
        <f t="shared" si="43"/>
        <v>7.4999999999999997E-2</v>
      </c>
      <c r="K327" s="189">
        <f>SUMIFS(Table1[Horas efetivas],Table1[Tabela],Plano_V3!E327,Table1[Campo],Plano_V3!F327)</f>
        <v>0.6</v>
      </c>
      <c r="L327" s="189">
        <f t="shared" si="44"/>
        <v>7.4999999999999997E-2</v>
      </c>
      <c r="M327" s="183"/>
      <c r="N327" s="183">
        <f t="shared" si="45"/>
        <v>1</v>
      </c>
      <c r="O327" s="183">
        <f t="shared" si="46"/>
        <v>1</v>
      </c>
      <c r="P327" s="90" t="s">
        <v>39</v>
      </c>
      <c r="Q327" s="91">
        <f t="shared" si="47"/>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48"/>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89">
        <f>SUMIFS(Table1[Estimação (horas)],Table1[Tabela],Plano_V3!E328,Table1[Campo],Plano_V3!F328)</f>
        <v>0.6</v>
      </c>
      <c r="J328" s="189">
        <f t="shared" si="43"/>
        <v>7.4999999999999997E-2</v>
      </c>
      <c r="K328" s="189">
        <f>SUMIFS(Table1[Horas efetivas],Table1[Tabela],Plano_V3!E328,Table1[Campo],Plano_V3!F328)</f>
        <v>0.6</v>
      </c>
      <c r="L328" s="189">
        <f t="shared" si="44"/>
        <v>7.4999999999999997E-2</v>
      </c>
      <c r="M328" s="183"/>
      <c r="N328" s="183">
        <f t="shared" si="45"/>
        <v>1</v>
      </c>
      <c r="O328" s="183">
        <f t="shared" si="46"/>
        <v>1</v>
      </c>
      <c r="P328" s="90" t="s">
        <v>39</v>
      </c>
      <c r="Q328" s="91">
        <f t="shared" si="47"/>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48"/>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89">
        <f>SUMIFS(Table1[Estimação (horas)],Table1[Tabela],Plano_V3!E329,Table1[Campo],Plano_V3!F329)</f>
        <v>0.5</v>
      </c>
      <c r="J329" s="189">
        <f t="shared" si="43"/>
        <v>6.25E-2</v>
      </c>
      <c r="K329" s="189">
        <f>SUMIFS(Table1[Horas efetivas],Table1[Tabela],Plano_V3!E329,Table1[Campo],Plano_V3!F329)</f>
        <v>0.5</v>
      </c>
      <c r="L329" s="189">
        <f t="shared" si="44"/>
        <v>6.25E-2</v>
      </c>
      <c r="M329" s="183"/>
      <c r="N329" s="183">
        <f t="shared" si="45"/>
        <v>1</v>
      </c>
      <c r="O329" s="183">
        <f t="shared" si="46"/>
        <v>1</v>
      </c>
      <c r="P329" s="90" t="s">
        <v>39</v>
      </c>
      <c r="Q329" s="91">
        <f t="shared" si="47"/>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48"/>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89">
        <f>SUMIFS(Table1[Estimação (horas)],Table1[Tabela],Plano_V3!E330,Table1[Campo],Plano_V3!F330)</f>
        <v>0.5</v>
      </c>
      <c r="J330" s="189">
        <f t="shared" si="43"/>
        <v>6.25E-2</v>
      </c>
      <c r="K330" s="189">
        <f>SUMIFS(Table1[Horas efetivas],Table1[Tabela],Plano_V3!E330,Table1[Campo],Plano_V3!F330)</f>
        <v>0.5</v>
      </c>
      <c r="L330" s="189">
        <f t="shared" si="44"/>
        <v>6.25E-2</v>
      </c>
      <c r="M330" s="183"/>
      <c r="N330" s="183">
        <f t="shared" si="45"/>
        <v>1</v>
      </c>
      <c r="O330" s="183">
        <f t="shared" si="46"/>
        <v>1</v>
      </c>
      <c r="P330" s="90" t="s">
        <v>39</v>
      </c>
      <c r="Q330" s="91">
        <f t="shared" si="47"/>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48"/>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89">
        <f>SUMIFS(Table1[Estimação (horas)],Table1[Tabela],Plano_V3!E331,Table1[Campo],Plano_V3!F331)</f>
        <v>0.5</v>
      </c>
      <c r="J331" s="189">
        <f t="shared" si="43"/>
        <v>6.25E-2</v>
      </c>
      <c r="K331" s="189">
        <f>SUMIFS(Table1[Horas efetivas],Table1[Tabela],Plano_V3!E331,Table1[Campo],Plano_V3!F331)</f>
        <v>0.5</v>
      </c>
      <c r="L331" s="189">
        <f t="shared" si="44"/>
        <v>6.25E-2</v>
      </c>
      <c r="M331" s="183"/>
      <c r="N331" s="183">
        <f t="shared" si="45"/>
        <v>1</v>
      </c>
      <c r="O331" s="183">
        <f t="shared" si="46"/>
        <v>1</v>
      </c>
      <c r="P331" s="90" t="s">
        <v>39</v>
      </c>
      <c r="Q331" s="91">
        <f t="shared" si="47"/>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48"/>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89">
        <f>SUMIFS(Table1[Estimação (horas)],Table1[Tabela],Plano_V3!E332,Table1[Campo],Plano_V3!F332)</f>
        <v>0.5</v>
      </c>
      <c r="J332" s="189">
        <f t="shared" si="43"/>
        <v>6.25E-2</v>
      </c>
      <c r="K332" s="189">
        <f>SUMIFS(Table1[Horas efetivas],Table1[Tabela],Plano_V3!E332,Table1[Campo],Plano_V3!F332)</f>
        <v>0.5</v>
      </c>
      <c r="L332" s="189">
        <f t="shared" si="44"/>
        <v>6.25E-2</v>
      </c>
      <c r="M332" s="183"/>
      <c r="N332" s="183">
        <f t="shared" si="45"/>
        <v>1</v>
      </c>
      <c r="O332" s="183">
        <f t="shared" si="46"/>
        <v>1</v>
      </c>
      <c r="P332" s="90" t="s">
        <v>39</v>
      </c>
      <c r="Q332" s="91">
        <f t="shared" si="47"/>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48"/>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89">
        <f>SUMIFS(Table1[Estimação (horas)],Table1[Tabela],Plano_V3!E333,Table1[Campo],Plano_V3!F333)</f>
        <v>0.5</v>
      </c>
      <c r="J333" s="189">
        <f t="shared" si="43"/>
        <v>6.25E-2</v>
      </c>
      <c r="K333" s="189">
        <f>SUMIFS(Table1[Horas efetivas],Table1[Tabela],Plano_V3!E333,Table1[Campo],Plano_V3!F333)</f>
        <v>0.5</v>
      </c>
      <c r="L333" s="189">
        <f t="shared" si="44"/>
        <v>6.25E-2</v>
      </c>
      <c r="M333" s="183"/>
      <c r="N333" s="183">
        <f t="shared" si="45"/>
        <v>1</v>
      </c>
      <c r="O333" s="183">
        <f t="shared" si="46"/>
        <v>1</v>
      </c>
      <c r="P333" s="90" t="s">
        <v>39</v>
      </c>
      <c r="Q333" s="91">
        <f t="shared" si="47"/>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48"/>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89">
        <f>SUMIFS(Table1[Estimação (horas)],Table1[Tabela],Plano_V3!E334,Table1[Campo],Plano_V3!F334)</f>
        <v>0.5</v>
      </c>
      <c r="J334" s="189">
        <f t="shared" si="43"/>
        <v>6.25E-2</v>
      </c>
      <c r="K334" s="189">
        <f>SUMIFS(Table1[Horas efetivas],Table1[Tabela],Plano_V3!E334,Table1[Campo],Plano_V3!F334)</f>
        <v>0.5</v>
      </c>
      <c r="L334" s="189">
        <f t="shared" si="44"/>
        <v>6.25E-2</v>
      </c>
      <c r="M334" s="183"/>
      <c r="N334" s="183">
        <f t="shared" si="45"/>
        <v>1</v>
      </c>
      <c r="O334" s="183">
        <f t="shared" si="46"/>
        <v>1</v>
      </c>
      <c r="P334" s="90" t="s">
        <v>39</v>
      </c>
      <c r="Q334" s="91">
        <f t="shared" si="47"/>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48"/>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89">
        <f>SUMIFS(Table1[Estimação (horas)],Table1[Tabela],Plano_V3!E335,Table1[Campo],Plano_V3!F335)</f>
        <v>0.5</v>
      </c>
      <c r="J335" s="189">
        <f t="shared" si="43"/>
        <v>6.25E-2</v>
      </c>
      <c r="K335" s="189">
        <f>SUMIFS(Table1[Horas efetivas],Table1[Tabela],Plano_V3!E335,Table1[Campo],Plano_V3!F335)</f>
        <v>0.5</v>
      </c>
      <c r="L335" s="189">
        <f t="shared" si="44"/>
        <v>6.25E-2</v>
      </c>
      <c r="M335" s="183"/>
      <c r="N335" s="183">
        <f t="shared" si="45"/>
        <v>1</v>
      </c>
      <c r="O335" s="183">
        <f t="shared" si="46"/>
        <v>1</v>
      </c>
      <c r="P335" s="90" t="s">
        <v>39</v>
      </c>
      <c r="Q335" s="91">
        <f t="shared" si="47"/>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48"/>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89">
        <f>SUMIFS(Table1[Estimação (horas)],Table1[Tabela],Plano_V3!E336,Table1[Campo],Plano_V3!F336)</f>
        <v>0.5</v>
      </c>
      <c r="J336" s="189">
        <f t="shared" ref="J336:J369" si="49">I336/8</f>
        <v>6.25E-2</v>
      </c>
      <c r="K336" s="189">
        <f>SUMIFS(Table1[Horas efetivas],Table1[Tabela],Plano_V3!E336,Table1[Campo],Plano_V3!F336)</f>
        <v>0.5</v>
      </c>
      <c r="L336" s="189">
        <f t="shared" si="44"/>
        <v>6.25E-2</v>
      </c>
      <c r="M336" s="183"/>
      <c r="N336" s="183">
        <f t="shared" si="45"/>
        <v>1</v>
      </c>
      <c r="O336" s="183">
        <f t="shared" si="46"/>
        <v>1</v>
      </c>
      <c r="P336" s="90" t="s">
        <v>39</v>
      </c>
      <c r="Q336" s="91">
        <f t="shared" si="47"/>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48"/>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89">
        <f>SUMIFS(Table1[Estimação (horas)],Table1[Tabela],Plano_V3!E337,Table1[Campo],Plano_V3!F337)</f>
        <v>0.5</v>
      </c>
      <c r="J337" s="189">
        <f t="shared" si="49"/>
        <v>6.25E-2</v>
      </c>
      <c r="K337" s="189">
        <f>SUMIFS(Table1[Horas efetivas],Table1[Tabela],Plano_V3!E337,Table1[Campo],Plano_V3!F337)</f>
        <v>0.5</v>
      </c>
      <c r="L337" s="189">
        <f t="shared" ref="L337:L369" si="50">K337/8</f>
        <v>6.25E-2</v>
      </c>
      <c r="M337" s="183"/>
      <c r="N337" s="183">
        <f t="shared" ref="N337:N369" si="51">L337/J337</f>
        <v>1</v>
      </c>
      <c r="O337" s="183">
        <f t="shared" si="46"/>
        <v>1</v>
      </c>
      <c r="P337" s="90" t="s">
        <v>39</v>
      </c>
      <c r="Q337" s="91">
        <f t="shared" si="47"/>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48"/>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89">
        <f>SUMIFS(Table1[Estimação (horas)],Table1[Tabela],Plano_V3!E338,Table1[Campo],Plano_V3!F338)</f>
        <v>0.5</v>
      </c>
      <c r="J338" s="189">
        <f t="shared" si="49"/>
        <v>6.25E-2</v>
      </c>
      <c r="K338" s="189">
        <f>SUMIFS(Table1[Horas efetivas],Table1[Tabela],Plano_V3!E338,Table1[Campo],Plano_V3!F338)</f>
        <v>0.5</v>
      </c>
      <c r="L338" s="189">
        <f t="shared" si="50"/>
        <v>6.25E-2</v>
      </c>
      <c r="M338" s="183"/>
      <c r="N338" s="183">
        <f t="shared" si="51"/>
        <v>1</v>
      </c>
      <c r="O338" s="183">
        <f t="shared" si="46"/>
        <v>1</v>
      </c>
      <c r="P338" s="90" t="s">
        <v>39</v>
      </c>
      <c r="Q338" s="91">
        <f t="shared" si="47"/>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48"/>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89">
        <f>SUMIFS(Table1[Estimação (horas)],Table1[Tabela],Plano_V3!E339,Table1[Campo],Plano_V3!F339)</f>
        <v>0.5</v>
      </c>
      <c r="J339" s="189">
        <f t="shared" si="49"/>
        <v>6.25E-2</v>
      </c>
      <c r="K339" s="189">
        <f>SUMIFS(Table1[Horas efetivas],Table1[Tabela],Plano_V3!E339,Table1[Campo],Plano_V3!F339)</f>
        <v>0.5</v>
      </c>
      <c r="L339" s="189">
        <f t="shared" si="50"/>
        <v>6.25E-2</v>
      </c>
      <c r="M339" s="183"/>
      <c r="N339" s="183">
        <f t="shared" si="51"/>
        <v>1</v>
      </c>
      <c r="O339" s="183">
        <f t="shared" si="46"/>
        <v>1</v>
      </c>
      <c r="P339" s="90" t="s">
        <v>39</v>
      </c>
      <c r="Q339" s="91">
        <f t="shared" si="47"/>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48"/>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89">
        <f>SUMIFS(Table1[Estimação (horas)],Table1[Tabela],Plano_V3!E340,Table1[Campo],Plano_V3!F340)</f>
        <v>0.5</v>
      </c>
      <c r="J340" s="189">
        <f t="shared" si="49"/>
        <v>6.25E-2</v>
      </c>
      <c r="K340" s="189">
        <f>SUMIFS(Table1[Horas efetivas],Table1[Tabela],Plano_V3!E340,Table1[Campo],Plano_V3!F340)</f>
        <v>0.5</v>
      </c>
      <c r="L340" s="189">
        <f t="shared" si="50"/>
        <v>6.25E-2</v>
      </c>
      <c r="M340" s="183"/>
      <c r="N340" s="183">
        <f t="shared" si="51"/>
        <v>1</v>
      </c>
      <c r="O340" s="183">
        <f t="shared" si="46"/>
        <v>1</v>
      </c>
      <c r="P340" s="90" t="s">
        <v>39</v>
      </c>
      <c r="Q340" s="91">
        <f t="shared" si="47"/>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48"/>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89">
        <f>SUMIFS(Table1[Estimação (horas)],Table1[Tabela],Plano_V3!E341,Table1[Campo],Plano_V3!F341)</f>
        <v>0.6</v>
      </c>
      <c r="J341" s="189">
        <f t="shared" si="49"/>
        <v>7.4999999999999997E-2</v>
      </c>
      <c r="K341" s="189">
        <f>SUMIFS(Table1[Horas efetivas],Table1[Tabela],Plano_V3!E341,Table1[Campo],Plano_V3!F341)</f>
        <v>0.6</v>
      </c>
      <c r="L341" s="189">
        <f t="shared" si="50"/>
        <v>7.4999999999999997E-2</v>
      </c>
      <c r="M341" s="183"/>
      <c r="N341" s="183">
        <f t="shared" si="51"/>
        <v>1</v>
      </c>
      <c r="O341" s="183">
        <f t="shared" si="46"/>
        <v>1</v>
      </c>
      <c r="P341" s="90" t="s">
        <v>39</v>
      </c>
      <c r="Q341" s="91">
        <f t="shared" si="47"/>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48"/>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89">
        <f>SUMIFS(Table1[Estimação (horas)],Table1[Tabela],Plano_V3!E342,Table1[Campo],Plano_V3!F342)</f>
        <v>0.5</v>
      </c>
      <c r="J342" s="189">
        <f t="shared" si="49"/>
        <v>6.25E-2</v>
      </c>
      <c r="K342" s="189">
        <f>SUMIFS(Table1[Horas efetivas],Table1[Tabela],Plano_V3!E342,Table1[Campo],Plano_V3!F342)</f>
        <v>0.5</v>
      </c>
      <c r="L342" s="189">
        <f t="shared" si="50"/>
        <v>6.25E-2</v>
      </c>
      <c r="M342" s="183"/>
      <c r="N342" s="183">
        <f t="shared" si="51"/>
        <v>1</v>
      </c>
      <c r="O342" s="183">
        <f t="shared" si="46"/>
        <v>1</v>
      </c>
      <c r="P342" s="90" t="s">
        <v>39</v>
      </c>
      <c r="Q342" s="91">
        <f t="shared" si="47"/>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48"/>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89">
        <f>SUMIFS(Table1[Estimação (horas)],Table1[Tabela],Plano_V3!E343,Table1[Campo],Plano_V3!F343)</f>
        <v>0.5</v>
      </c>
      <c r="J343" s="189">
        <f t="shared" si="49"/>
        <v>6.25E-2</v>
      </c>
      <c r="K343" s="189">
        <f>SUMIFS(Table1[Horas efetivas],Table1[Tabela],Plano_V3!E343,Table1[Campo],Plano_V3!F343)</f>
        <v>0.5</v>
      </c>
      <c r="L343" s="189">
        <f t="shared" si="50"/>
        <v>6.25E-2</v>
      </c>
      <c r="M343" s="183"/>
      <c r="N343" s="183">
        <f t="shared" si="51"/>
        <v>1</v>
      </c>
      <c r="O343" s="183">
        <f t="shared" si="46"/>
        <v>1</v>
      </c>
      <c r="P343" s="90" t="s">
        <v>39</v>
      </c>
      <c r="Q343" s="91">
        <f t="shared" si="47"/>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48"/>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89">
        <f>SUMIFS(Table1[Estimação (horas)],Table1[Tabela],Plano_V3!E344,Table1[Campo],Plano_V3!F344)</f>
        <v>0.5</v>
      </c>
      <c r="J344" s="189">
        <f t="shared" si="49"/>
        <v>6.25E-2</v>
      </c>
      <c r="K344" s="189">
        <f>SUMIFS(Table1[Horas efetivas],Table1[Tabela],Plano_V3!E344,Table1[Campo],Plano_V3!F344)</f>
        <v>0.5</v>
      </c>
      <c r="L344" s="189">
        <f t="shared" si="50"/>
        <v>6.25E-2</v>
      </c>
      <c r="M344" s="183"/>
      <c r="N344" s="183">
        <f t="shared" si="51"/>
        <v>1</v>
      </c>
      <c r="O344" s="183">
        <f t="shared" si="46"/>
        <v>1</v>
      </c>
      <c r="P344" s="90" t="s">
        <v>39</v>
      </c>
      <c r="Q344" s="91">
        <f t="shared" si="47"/>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48"/>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89">
        <f>SUMIFS(Table1[Estimação (horas)],Table1[Tabela],Plano_V3!E345,Table1[Campo],Plano_V3!F345)</f>
        <v>0.5</v>
      </c>
      <c r="J345" s="189">
        <f t="shared" si="49"/>
        <v>6.25E-2</v>
      </c>
      <c r="K345" s="189">
        <f>SUMIFS(Table1[Horas efetivas],Table1[Tabela],Plano_V3!E345,Table1[Campo],Plano_V3!F345)</f>
        <v>0.5</v>
      </c>
      <c r="L345" s="189">
        <f t="shared" si="50"/>
        <v>6.25E-2</v>
      </c>
      <c r="M345" s="183"/>
      <c r="N345" s="183">
        <f t="shared" si="51"/>
        <v>1</v>
      </c>
      <c r="O345" s="183">
        <f t="shared" ref="O345:O408" si="52">N345-M345</f>
        <v>1</v>
      </c>
      <c r="P345" s="90" t="s">
        <v>39</v>
      </c>
      <c r="Q345" s="91">
        <f t="shared" si="47"/>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48"/>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89">
        <f>SUMIFS(Table1[Estimação (horas)],Table1[Tabela],Plano_V3!E346,Table1[Campo],Plano_V3!F346)</f>
        <v>0.6</v>
      </c>
      <c r="J346" s="189">
        <f t="shared" si="49"/>
        <v>7.4999999999999997E-2</v>
      </c>
      <c r="K346" s="189">
        <f>SUMIFS(Table1[Horas efetivas],Table1[Tabela],Plano_V3!E346,Table1[Campo],Plano_V3!F346)</f>
        <v>0.6</v>
      </c>
      <c r="L346" s="189">
        <f t="shared" si="50"/>
        <v>7.4999999999999997E-2</v>
      </c>
      <c r="M346" s="183"/>
      <c r="N346" s="183">
        <f t="shared" si="51"/>
        <v>1</v>
      </c>
      <c r="O346" s="183">
        <f t="shared" si="52"/>
        <v>1</v>
      </c>
      <c r="P346" s="90" t="s">
        <v>39</v>
      </c>
      <c r="Q346" s="91">
        <f t="shared" si="47"/>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48"/>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89">
        <f>SUMIFS(Table1[Estimação (horas)],Table1[Tabela],Plano_V3!E347,Table1[Campo],Plano_V3!F347)</f>
        <v>0.5</v>
      </c>
      <c r="J347" s="189">
        <f t="shared" si="49"/>
        <v>6.25E-2</v>
      </c>
      <c r="K347" s="189">
        <f>SUMIFS(Table1[Horas efetivas],Table1[Tabela],Plano_V3!E347,Table1[Campo],Plano_V3!F347)</f>
        <v>0.5</v>
      </c>
      <c r="L347" s="189">
        <f t="shared" si="50"/>
        <v>6.25E-2</v>
      </c>
      <c r="M347" s="183"/>
      <c r="N347" s="183">
        <f t="shared" si="51"/>
        <v>1</v>
      </c>
      <c r="O347" s="183">
        <f t="shared" si="52"/>
        <v>1</v>
      </c>
      <c r="P347" s="90" t="s">
        <v>39</v>
      </c>
      <c r="Q347" s="91">
        <f t="shared" si="47"/>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48"/>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89">
        <f>SUMIFS(Table1[Estimação (horas)],Table1[Tabela],Plano_V3!E348,Table1[Campo],Plano_V3!F348)</f>
        <v>0.5</v>
      </c>
      <c r="J348" s="189">
        <f t="shared" si="49"/>
        <v>6.25E-2</v>
      </c>
      <c r="K348" s="189">
        <f>SUMIFS(Table1[Horas efetivas],Table1[Tabela],Plano_V3!E348,Table1[Campo],Plano_V3!F348)</f>
        <v>0.5</v>
      </c>
      <c r="L348" s="189">
        <f t="shared" si="50"/>
        <v>6.25E-2</v>
      </c>
      <c r="M348" s="183"/>
      <c r="N348" s="183">
        <f t="shared" si="51"/>
        <v>1</v>
      </c>
      <c r="O348" s="183">
        <f t="shared" si="52"/>
        <v>1</v>
      </c>
      <c r="P348" s="90" t="s">
        <v>39</v>
      </c>
      <c r="Q348" s="91">
        <f t="shared" si="47"/>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48"/>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89">
        <f>SUMIFS(Table1[Estimação (horas)],Table1[Tabela],Plano_V3!E349,Table1[Campo],Plano_V3!F349)</f>
        <v>0.6</v>
      </c>
      <c r="J349" s="189">
        <f t="shared" si="49"/>
        <v>7.4999999999999997E-2</v>
      </c>
      <c r="K349" s="189">
        <f>SUMIFS(Table1[Horas efetivas],Table1[Tabela],Plano_V3!E349,Table1[Campo],Plano_V3!F349)</f>
        <v>0.6</v>
      </c>
      <c r="L349" s="189">
        <f t="shared" si="50"/>
        <v>7.4999999999999997E-2</v>
      </c>
      <c r="M349" s="183"/>
      <c r="N349" s="183">
        <f t="shared" si="51"/>
        <v>1</v>
      </c>
      <c r="O349" s="183">
        <f t="shared" si="52"/>
        <v>1</v>
      </c>
      <c r="P349" s="90" t="s">
        <v>39</v>
      </c>
      <c r="Q349" s="91">
        <f t="shared" si="47"/>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48"/>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89">
        <f>SUMIFS(Table1[Estimação (horas)],Table1[Tabela],Plano_V3!E350,Table1[Campo],Plano_V3!F350)</f>
        <v>0.6</v>
      </c>
      <c r="J350" s="189">
        <f t="shared" si="49"/>
        <v>7.4999999999999997E-2</v>
      </c>
      <c r="K350" s="189">
        <f>SUMIFS(Table1[Horas efetivas],Table1[Tabela],Plano_V3!E350,Table1[Campo],Plano_V3!F350)</f>
        <v>0.6</v>
      </c>
      <c r="L350" s="189">
        <f t="shared" si="50"/>
        <v>7.4999999999999997E-2</v>
      </c>
      <c r="M350" s="183"/>
      <c r="N350" s="183">
        <f t="shared" si="51"/>
        <v>1</v>
      </c>
      <c r="O350" s="183">
        <f t="shared" si="52"/>
        <v>1</v>
      </c>
      <c r="P350" s="90" t="s">
        <v>39</v>
      </c>
      <c r="Q350" s="91">
        <f t="shared" si="47"/>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48"/>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89">
        <f>SUMIFS(Table1[Estimação (horas)],Table1[Tabela],Plano_V3!E351,Table1[Campo],Plano_V3!F351)</f>
        <v>0.6</v>
      </c>
      <c r="J351" s="189">
        <f t="shared" si="49"/>
        <v>7.4999999999999997E-2</v>
      </c>
      <c r="K351" s="189">
        <f>SUMIFS(Table1[Horas efetivas],Table1[Tabela],Plano_V3!E351,Table1[Campo],Plano_V3!F351)</f>
        <v>0.6</v>
      </c>
      <c r="L351" s="189">
        <f t="shared" si="50"/>
        <v>7.4999999999999997E-2</v>
      </c>
      <c r="M351" s="183"/>
      <c r="N351" s="183">
        <f t="shared" si="51"/>
        <v>1</v>
      </c>
      <c r="O351" s="183">
        <f t="shared" si="52"/>
        <v>1</v>
      </c>
      <c r="P351" s="90" t="s">
        <v>39</v>
      </c>
      <c r="Q351" s="91">
        <f t="shared" si="47"/>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48"/>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89">
        <f>SUMIFS(Table1[Estimação (horas)],Table1[Tabela],Plano_V3!E352,Table1[Campo],Plano_V3!F352)</f>
        <v>0.5</v>
      </c>
      <c r="J352" s="189">
        <f t="shared" si="49"/>
        <v>6.25E-2</v>
      </c>
      <c r="K352" s="189">
        <f>SUMIFS(Table1[Horas efetivas],Table1[Tabela],Plano_V3!E352,Table1[Campo],Plano_V3!F352)</f>
        <v>0.5</v>
      </c>
      <c r="L352" s="189">
        <f t="shared" si="50"/>
        <v>6.25E-2</v>
      </c>
      <c r="M352" s="183"/>
      <c r="N352" s="183">
        <f t="shared" si="51"/>
        <v>1</v>
      </c>
      <c r="O352" s="183">
        <f t="shared" si="52"/>
        <v>1</v>
      </c>
      <c r="P352" s="90" t="s">
        <v>39</v>
      </c>
      <c r="Q352" s="91">
        <f t="shared" si="47"/>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48"/>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89">
        <f>SUMIFS(Table1[Estimação (horas)],Table1[Tabela],Plano_V3!E353,Table1[Campo],Plano_V3!F353)</f>
        <v>0.5</v>
      </c>
      <c r="J353" s="189">
        <f t="shared" si="49"/>
        <v>6.25E-2</v>
      </c>
      <c r="K353" s="189">
        <f>SUMIFS(Table1[Horas efetivas],Table1[Tabela],Plano_V3!E353,Table1[Campo],Plano_V3!F353)</f>
        <v>0.5</v>
      </c>
      <c r="L353" s="189">
        <f t="shared" si="50"/>
        <v>6.25E-2</v>
      </c>
      <c r="M353" s="183"/>
      <c r="N353" s="183">
        <f t="shared" si="51"/>
        <v>1</v>
      </c>
      <c r="O353" s="183">
        <f t="shared" si="52"/>
        <v>1</v>
      </c>
      <c r="P353" s="90" t="s">
        <v>39</v>
      </c>
      <c r="Q353" s="91">
        <f t="shared" si="47"/>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48"/>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89">
        <f>SUMIFS(Table1[Estimação (horas)],Table1[Tabela],Plano_V3!E354,Table1[Campo],Plano_V3!F354)</f>
        <v>0.5</v>
      </c>
      <c r="J354" s="189">
        <f t="shared" si="49"/>
        <v>6.25E-2</v>
      </c>
      <c r="K354" s="189">
        <f>SUMIFS(Table1[Horas efetivas],Table1[Tabela],Plano_V3!E354,Table1[Campo],Plano_V3!F354)</f>
        <v>0.5</v>
      </c>
      <c r="L354" s="189">
        <f t="shared" si="50"/>
        <v>6.25E-2</v>
      </c>
      <c r="M354" s="183"/>
      <c r="N354" s="183">
        <f t="shared" si="51"/>
        <v>1</v>
      </c>
      <c r="O354" s="183">
        <f t="shared" si="52"/>
        <v>1</v>
      </c>
      <c r="P354" s="90" t="s">
        <v>39</v>
      </c>
      <c r="Q354" s="91">
        <f t="shared" si="47"/>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48"/>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89">
        <f>SUMIFS(Table1[Estimação (horas)],Table1[Tabela],Plano_V3!E355,Table1[Campo],Plano_V3!F355)</f>
        <v>0.5</v>
      </c>
      <c r="J355" s="189">
        <f t="shared" si="49"/>
        <v>6.25E-2</v>
      </c>
      <c r="K355" s="189">
        <f>SUMIFS(Table1[Horas efetivas],Table1[Tabela],Plano_V3!E355,Table1[Campo],Plano_V3!F355)</f>
        <v>0.5</v>
      </c>
      <c r="L355" s="189">
        <f t="shared" si="50"/>
        <v>6.25E-2</v>
      </c>
      <c r="M355" s="183"/>
      <c r="N355" s="183">
        <f t="shared" si="51"/>
        <v>1</v>
      </c>
      <c r="O355" s="183">
        <f t="shared" si="52"/>
        <v>1</v>
      </c>
      <c r="P355" s="90" t="s">
        <v>39</v>
      </c>
      <c r="Q355" s="91">
        <f t="shared" si="47"/>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48"/>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89">
        <f>SUMIFS(Table1[Estimação (horas)],Table1[Tabela],Plano_V3!E356,Table1[Campo],Plano_V3!F356)</f>
        <v>1</v>
      </c>
      <c r="J356" s="189">
        <f t="shared" si="49"/>
        <v>0.125</v>
      </c>
      <c r="K356" s="189">
        <f>SUMIFS(Table1[Horas efetivas],Table1[Tabela],Plano_V3!E356,Table1[Campo],Plano_V3!F356)</f>
        <v>1</v>
      </c>
      <c r="L356" s="189">
        <f t="shared" si="50"/>
        <v>0.125</v>
      </c>
      <c r="M356" s="183"/>
      <c r="N356" s="183">
        <f t="shared" si="51"/>
        <v>1</v>
      </c>
      <c r="O356" s="183">
        <f t="shared" si="52"/>
        <v>1</v>
      </c>
      <c r="P356" s="90" t="s">
        <v>39</v>
      </c>
      <c r="Q356" s="91">
        <f t="shared" ref="Q356:Q419" si="53">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48"/>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89">
        <f>SUMIFS(Table1[Estimação (horas)],Table1[Tabela],Plano_V3!E357,Table1[Campo],Plano_V3!F357)</f>
        <v>0.5</v>
      </c>
      <c r="J357" s="189">
        <f t="shared" si="49"/>
        <v>6.25E-2</v>
      </c>
      <c r="K357" s="189">
        <f>SUMIFS(Table1[Horas efetivas],Table1[Tabela],Plano_V3!E357,Table1[Campo],Plano_V3!F357)</f>
        <v>0.5</v>
      </c>
      <c r="L357" s="189">
        <f t="shared" si="50"/>
        <v>6.25E-2</v>
      </c>
      <c r="M357" s="183"/>
      <c r="N357" s="183">
        <f t="shared" si="51"/>
        <v>1</v>
      </c>
      <c r="O357" s="183">
        <f t="shared" si="52"/>
        <v>1</v>
      </c>
      <c r="P357" s="90" t="s">
        <v>39</v>
      </c>
      <c r="Q357" s="91">
        <f t="shared" si="53"/>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54">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89">
        <f>SUMIFS(Table1[Estimação (horas)],Table1[Tabela],Plano_V3!E358,Table1[Campo],Plano_V3!F358)</f>
        <v>0.5</v>
      </c>
      <c r="J358" s="189">
        <f t="shared" si="49"/>
        <v>6.25E-2</v>
      </c>
      <c r="K358" s="189">
        <f>SUMIFS(Table1[Horas efetivas],Table1[Tabela],Plano_V3!E358,Table1[Campo],Plano_V3!F358)</f>
        <v>0.5</v>
      </c>
      <c r="L358" s="189">
        <f t="shared" si="50"/>
        <v>6.25E-2</v>
      </c>
      <c r="M358" s="183"/>
      <c r="N358" s="183">
        <f t="shared" si="51"/>
        <v>1</v>
      </c>
      <c r="O358" s="183">
        <f t="shared" si="52"/>
        <v>1</v>
      </c>
      <c r="P358" s="90" t="s">
        <v>39</v>
      </c>
      <c r="Q358" s="91">
        <f t="shared" si="53"/>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54"/>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89">
        <f>SUMIFS(Table1[Estimação (horas)],Table1[Tabela],Plano_V3!E359,Table1[Campo],Plano_V3!F359)</f>
        <v>0.5</v>
      </c>
      <c r="J359" s="189">
        <f t="shared" si="49"/>
        <v>6.25E-2</v>
      </c>
      <c r="K359" s="189">
        <f>SUMIFS(Table1[Horas efetivas],Table1[Tabela],Plano_V3!E359,Table1[Campo],Plano_V3!F359)</f>
        <v>0.5</v>
      </c>
      <c r="L359" s="189">
        <f t="shared" si="50"/>
        <v>6.25E-2</v>
      </c>
      <c r="M359" s="183"/>
      <c r="N359" s="183">
        <f t="shared" si="51"/>
        <v>1</v>
      </c>
      <c r="O359" s="183">
        <f t="shared" si="52"/>
        <v>1</v>
      </c>
      <c r="P359" s="90" t="s">
        <v>39</v>
      </c>
      <c r="Q359" s="91">
        <f t="shared" si="53"/>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54"/>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89">
        <f>SUMIFS(Table1[Estimação (horas)],Table1[Tabela],Plano_V3!E360,Table1[Campo],Plano_V3!F360)</f>
        <v>0.5</v>
      </c>
      <c r="J360" s="189">
        <f t="shared" si="49"/>
        <v>6.25E-2</v>
      </c>
      <c r="K360" s="189">
        <f>SUMIFS(Table1[Horas efetivas],Table1[Tabela],Plano_V3!E360,Table1[Campo],Plano_V3!F360)</f>
        <v>0.5</v>
      </c>
      <c r="L360" s="189">
        <f t="shared" si="50"/>
        <v>6.25E-2</v>
      </c>
      <c r="M360" s="183"/>
      <c r="N360" s="183">
        <f t="shared" si="51"/>
        <v>1</v>
      </c>
      <c r="O360" s="183">
        <f t="shared" si="52"/>
        <v>1</v>
      </c>
      <c r="P360" s="90" t="s">
        <v>39</v>
      </c>
      <c r="Q360" s="91">
        <f t="shared" si="53"/>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54"/>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89">
        <f>SUMIFS(Table1[Estimação (horas)],Table1[Tabela],Plano_V3!E361,Table1[Campo],Plano_V3!F361)</f>
        <v>0.5</v>
      </c>
      <c r="J361" s="189">
        <f t="shared" si="49"/>
        <v>6.25E-2</v>
      </c>
      <c r="K361" s="189">
        <f>SUMIFS(Table1[Horas efetivas],Table1[Tabela],Plano_V3!E361,Table1[Campo],Plano_V3!F361)</f>
        <v>0</v>
      </c>
      <c r="L361" s="189">
        <f t="shared" si="50"/>
        <v>0</v>
      </c>
      <c r="M361" s="183"/>
      <c r="N361" s="183">
        <f t="shared" si="51"/>
        <v>0</v>
      </c>
      <c r="O361" s="183">
        <f t="shared" si="52"/>
        <v>0</v>
      </c>
      <c r="P361" s="90" t="s">
        <v>39</v>
      </c>
      <c r="Q361" s="91">
        <f t="shared" si="53"/>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54"/>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89">
        <f>SUMIFS(Table1[Estimação (horas)],Table1[Tabela],Plano_V3!E362,Table1[Campo],Plano_V3!F362)</f>
        <v>0.5</v>
      </c>
      <c r="J362" s="189">
        <f t="shared" si="49"/>
        <v>6.25E-2</v>
      </c>
      <c r="K362" s="189">
        <f>SUMIFS(Table1[Horas efetivas],Table1[Tabela],Plano_V3!E362,Table1[Campo],Plano_V3!F362)</f>
        <v>0.5</v>
      </c>
      <c r="L362" s="189">
        <f t="shared" si="50"/>
        <v>6.25E-2</v>
      </c>
      <c r="M362" s="183"/>
      <c r="N362" s="183">
        <f t="shared" si="51"/>
        <v>1</v>
      </c>
      <c r="O362" s="183">
        <f t="shared" si="52"/>
        <v>1</v>
      </c>
      <c r="P362" s="90" t="s">
        <v>39</v>
      </c>
      <c r="Q362" s="91">
        <f t="shared" si="53"/>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54"/>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89">
        <f>SUMIFS(Table1[Estimação (horas)],Table1[Tabela],Plano_V3!E363,Table1[Campo],Plano_V3!F363)</f>
        <v>0.5</v>
      </c>
      <c r="J363" s="189">
        <f t="shared" si="49"/>
        <v>6.25E-2</v>
      </c>
      <c r="K363" s="189">
        <f>SUMIFS(Table1[Horas efetivas],Table1[Tabela],Plano_V3!E363,Table1[Campo],Plano_V3!F363)</f>
        <v>0.5</v>
      </c>
      <c r="L363" s="189">
        <f t="shared" si="50"/>
        <v>6.25E-2</v>
      </c>
      <c r="M363" s="183"/>
      <c r="N363" s="183">
        <f t="shared" si="51"/>
        <v>1</v>
      </c>
      <c r="O363" s="183">
        <f t="shared" si="52"/>
        <v>1</v>
      </c>
      <c r="P363" s="90" t="s">
        <v>39</v>
      </c>
      <c r="Q363" s="91">
        <f t="shared" si="53"/>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54"/>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89">
        <f>SUMIFS(Table1[Estimação (horas)],Table1[Tabela],Plano_V3!E364,Table1[Campo],Plano_V3!F364)</f>
        <v>0.5</v>
      </c>
      <c r="J364" s="189">
        <f t="shared" si="49"/>
        <v>6.25E-2</v>
      </c>
      <c r="K364" s="189">
        <f>SUMIFS(Table1[Horas efetivas],Table1[Tabela],Plano_V3!E364,Table1[Campo],Plano_V3!F364)</f>
        <v>0.5</v>
      </c>
      <c r="L364" s="189">
        <f t="shared" si="50"/>
        <v>6.25E-2</v>
      </c>
      <c r="M364" s="183"/>
      <c r="N364" s="183">
        <f t="shared" si="51"/>
        <v>1</v>
      </c>
      <c r="O364" s="183">
        <f t="shared" si="52"/>
        <v>1</v>
      </c>
      <c r="P364" s="90" t="s">
        <v>39</v>
      </c>
      <c r="Q364" s="91">
        <f t="shared" si="53"/>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54"/>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89">
        <f>SUMIFS(Table1[Estimação (horas)],Table1[Tabela],Plano_V3!E365,Table1[Campo],Plano_V3!F365)</f>
        <v>0.5</v>
      </c>
      <c r="J365" s="189">
        <f t="shared" si="49"/>
        <v>6.25E-2</v>
      </c>
      <c r="K365" s="189">
        <f>SUMIFS(Table1[Horas efetivas],Table1[Tabela],Plano_V3!E365,Table1[Campo],Plano_V3!F365)</f>
        <v>0.5</v>
      </c>
      <c r="L365" s="189">
        <f t="shared" si="50"/>
        <v>6.25E-2</v>
      </c>
      <c r="M365" s="183"/>
      <c r="N365" s="183">
        <f t="shared" si="51"/>
        <v>1</v>
      </c>
      <c r="O365" s="183">
        <f t="shared" si="52"/>
        <v>1</v>
      </c>
      <c r="P365" s="90" t="s">
        <v>39</v>
      </c>
      <c r="Q365" s="91">
        <f t="shared" si="53"/>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54"/>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89">
        <f>SUMIFS(Table1[Estimação (horas)],Table1[Tabela],Plano_V3!E366,Table1[Campo],Plano_V3!F366)</f>
        <v>0.5</v>
      </c>
      <c r="J366" s="189">
        <f t="shared" si="49"/>
        <v>6.25E-2</v>
      </c>
      <c r="K366" s="189">
        <f>SUMIFS(Table1[Horas efetivas],Table1[Tabela],Plano_V3!E366,Table1[Campo],Plano_V3!F366)</f>
        <v>0.5</v>
      </c>
      <c r="L366" s="189">
        <f t="shared" si="50"/>
        <v>6.25E-2</v>
      </c>
      <c r="M366" s="183"/>
      <c r="N366" s="183">
        <f t="shared" si="51"/>
        <v>1</v>
      </c>
      <c r="O366" s="183">
        <f t="shared" si="52"/>
        <v>1</v>
      </c>
      <c r="P366" s="90" t="s">
        <v>39</v>
      </c>
      <c r="Q366" s="91">
        <f t="shared" si="53"/>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54"/>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89">
        <f>SUMIFS(Table1[Estimação (horas)],Table1[Tabela],Plano_V3!E367,Table1[Campo],Plano_V3!F367)</f>
        <v>0.5</v>
      </c>
      <c r="J367" s="189">
        <f t="shared" si="49"/>
        <v>6.25E-2</v>
      </c>
      <c r="K367" s="189">
        <f>SUMIFS(Table1[Horas efetivas],Table1[Tabela],Plano_V3!E367,Table1[Campo],Plano_V3!F367)</f>
        <v>0.5</v>
      </c>
      <c r="L367" s="189">
        <f t="shared" si="50"/>
        <v>6.25E-2</v>
      </c>
      <c r="M367" s="183"/>
      <c r="N367" s="183">
        <f t="shared" si="51"/>
        <v>1</v>
      </c>
      <c r="O367" s="183">
        <f t="shared" si="52"/>
        <v>1</v>
      </c>
      <c r="P367" s="90" t="s">
        <v>39</v>
      </c>
      <c r="Q367" s="91">
        <f t="shared" si="53"/>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54"/>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89">
        <f>SUMIFS(Table1[Estimação (horas)],Table1[Tabela],Plano_V3!E368,Table1[Campo],Plano_V3!F368)</f>
        <v>0.6</v>
      </c>
      <c r="J368" s="189">
        <f t="shared" si="49"/>
        <v>7.4999999999999997E-2</v>
      </c>
      <c r="K368" s="189">
        <f>SUMIFS(Table1[Horas efetivas],Table1[Tabela],Plano_V3!E368,Table1[Campo],Plano_V3!F368)</f>
        <v>0.6</v>
      </c>
      <c r="L368" s="189">
        <f t="shared" si="50"/>
        <v>7.4999999999999997E-2</v>
      </c>
      <c r="M368" s="183"/>
      <c r="N368" s="183">
        <f t="shared" si="51"/>
        <v>1</v>
      </c>
      <c r="O368" s="183">
        <f t="shared" si="52"/>
        <v>1</v>
      </c>
      <c r="P368" s="90" t="s">
        <v>39</v>
      </c>
      <c r="Q368" s="91">
        <f t="shared" si="53"/>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54"/>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89">
        <f>SUMIFS(Table1[Estimação (horas)],Table1[Tabela],Plano_V3!E369,Table1[Campo],Plano_V3!F369)</f>
        <v>0.6</v>
      </c>
      <c r="J369" s="189">
        <f t="shared" si="49"/>
        <v>7.4999999999999997E-2</v>
      </c>
      <c r="K369" s="189">
        <f>SUMIFS(Table1[Horas efetivas],Table1[Tabela],Plano_V3!E369,Table1[Campo],Plano_V3!F369)</f>
        <v>0.6</v>
      </c>
      <c r="L369" s="189">
        <f t="shared" si="50"/>
        <v>7.4999999999999997E-2</v>
      </c>
      <c r="M369" s="183"/>
      <c r="N369" s="183">
        <f t="shared" si="51"/>
        <v>1</v>
      </c>
      <c r="O369" s="183">
        <f t="shared" si="52"/>
        <v>1</v>
      </c>
      <c r="P369" s="90" t="s">
        <v>39</v>
      </c>
      <c r="Q369" s="91">
        <f t="shared" si="53"/>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54"/>
        <v>Re-testesn.a.</v>
      </c>
      <c r="B370" s="68" t="s">
        <v>26</v>
      </c>
      <c r="C370" s="69" t="s">
        <v>181</v>
      </c>
      <c r="D370" s="65" t="s">
        <v>40</v>
      </c>
      <c r="E370" s="67" t="s">
        <v>53</v>
      </c>
      <c r="F370" s="65" t="s">
        <v>38</v>
      </c>
      <c r="G370" s="65" t="s">
        <v>310</v>
      </c>
      <c r="H370" s="65"/>
      <c r="I370" s="189">
        <f>J370*8</f>
        <v>16</v>
      </c>
      <c r="J370" s="189">
        <v>2</v>
      </c>
      <c r="K370" s="189"/>
      <c r="L370" s="189"/>
      <c r="M370" s="183"/>
      <c r="N370" s="183">
        <v>0.25</v>
      </c>
      <c r="O370" s="183">
        <f t="shared" si="52"/>
        <v>0.25</v>
      </c>
      <c r="P370" s="88"/>
      <c r="Q370" s="91">
        <f t="shared" si="53"/>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54"/>
        <v/>
      </c>
      <c r="B371" s="64" t="s">
        <v>26</v>
      </c>
      <c r="C371" s="97" t="s">
        <v>311</v>
      </c>
      <c r="D371" s="97"/>
      <c r="E371" s="104"/>
      <c r="F371" s="97"/>
      <c r="G371" s="97"/>
      <c r="H371" s="97"/>
      <c r="I371" s="188">
        <f>SUM(I372:I455)</f>
        <v>796.3875000000013</v>
      </c>
      <c r="J371" s="188">
        <f>ROUNDUP(I371/8,0)</f>
        <v>100</v>
      </c>
      <c r="K371" s="188">
        <f>SUM(K372:K455)</f>
        <v>660.76874999999995</v>
      </c>
      <c r="L371" s="188">
        <f>ROUNDUP(K371/8,0)</f>
        <v>83</v>
      </c>
      <c r="M371" s="187">
        <f>SUMIFS(R371:ES371,$R$9:$ES$9,"S")/J371</f>
        <v>0.32500000000000001</v>
      </c>
      <c r="N371" s="187">
        <f>IFERROR(L371/J371,0)-15%</f>
        <v>0.67999999999999994</v>
      </c>
      <c r="O371" s="187">
        <f t="shared" si="52"/>
        <v>0.35499999999999993</v>
      </c>
      <c r="P371" s="194" t="s">
        <v>1924</v>
      </c>
      <c r="Q371" s="91">
        <f t="shared" si="53"/>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54"/>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89">
        <f>SUMIFS(Table1[Estimação (horas)],Table1[Tabela],Plano_V3!E372,Table1[Campo],Plano_V3!F372)</f>
        <v>8</v>
      </c>
      <c r="J372" s="189">
        <f t="shared" ref="J372:J435" si="55">I372/8</f>
        <v>1</v>
      </c>
      <c r="K372" s="189">
        <f>SUMIFS(Table1[Horas efetivas],Table1[Tabela],Plano_V3!E372,Table1[Campo],Plano_V3!F372)</f>
        <v>8</v>
      </c>
      <c r="L372" s="189">
        <f t="shared" ref="L372:L435" si="56">K372/8</f>
        <v>1</v>
      </c>
      <c r="M372" s="183"/>
      <c r="N372" s="183">
        <f t="shared" ref="N372:N435" si="57">L372/J372</f>
        <v>1</v>
      </c>
      <c r="O372" s="183">
        <f t="shared" si="52"/>
        <v>1</v>
      </c>
      <c r="P372" s="88" t="s">
        <v>313</v>
      </c>
      <c r="Q372" s="91">
        <f t="shared" si="53"/>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54"/>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89">
        <f>SUMIFS(Table1[Estimação (horas)],Table1[Tabela],Plano_V3!E373,Table1[Campo],Plano_V3!F373)</f>
        <v>4.0999999999999996</v>
      </c>
      <c r="J373" s="189">
        <f t="shared" si="55"/>
        <v>0.51249999999999996</v>
      </c>
      <c r="K373" s="189">
        <f>SUMIFS(Table1[Horas efetivas],Table1[Tabela],Plano_V3!E373,Table1[Campo],Plano_V3!F373)</f>
        <v>4.0999999999999996</v>
      </c>
      <c r="L373" s="189">
        <f t="shared" si="56"/>
        <v>0.51249999999999996</v>
      </c>
      <c r="M373" s="183"/>
      <c r="N373" s="183">
        <f t="shared" si="57"/>
        <v>1</v>
      </c>
      <c r="O373" s="183">
        <f t="shared" si="52"/>
        <v>1</v>
      </c>
      <c r="P373" s="88" t="s">
        <v>313</v>
      </c>
      <c r="Q373" s="91">
        <f t="shared" si="53"/>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54"/>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55"/>
        <v>0.51249999999999996</v>
      </c>
      <c r="K374" s="189">
        <f>SUMIFS(Table1[Horas efetivas],Table1[Tabela],Plano_V3!E374,Table1[Campo],Plano_V3!F374)</f>
        <v>4.0999999999999996</v>
      </c>
      <c r="L374" s="189">
        <f t="shared" si="56"/>
        <v>0.51249999999999996</v>
      </c>
      <c r="M374" s="183"/>
      <c r="N374" s="183">
        <f t="shared" si="57"/>
        <v>1</v>
      </c>
      <c r="O374" s="183">
        <f t="shared" si="52"/>
        <v>1</v>
      </c>
      <c r="P374" s="88" t="s">
        <v>313</v>
      </c>
      <c r="Q374" s="91">
        <f t="shared" si="53"/>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54"/>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55"/>
        <v>0.51249999999999996</v>
      </c>
      <c r="K375" s="189">
        <f>SUMIFS(Table1[Horas efetivas],Table1[Tabela],Plano_V3!E375,Table1[Campo],Plano_V3!F375)</f>
        <v>4.0999999999999996</v>
      </c>
      <c r="L375" s="189">
        <f t="shared" si="56"/>
        <v>0.51249999999999996</v>
      </c>
      <c r="M375" s="183"/>
      <c r="N375" s="183">
        <f t="shared" si="57"/>
        <v>1</v>
      </c>
      <c r="O375" s="183">
        <f t="shared" si="52"/>
        <v>1</v>
      </c>
      <c r="P375" s="88" t="s">
        <v>313</v>
      </c>
      <c r="Q375" s="91">
        <f t="shared" si="53"/>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54"/>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55"/>
        <v>0.51249999999999996</v>
      </c>
      <c r="K376" s="189">
        <f>SUMIFS(Table1[Horas efetivas],Table1[Tabela],Plano_V3!E376,Table1[Campo],Plano_V3!F376)</f>
        <v>4.0999999999999996</v>
      </c>
      <c r="L376" s="189">
        <f t="shared" si="56"/>
        <v>0.51249999999999996</v>
      </c>
      <c r="M376" s="183"/>
      <c r="N376" s="183">
        <f t="shared" si="57"/>
        <v>1</v>
      </c>
      <c r="O376" s="183">
        <f t="shared" si="52"/>
        <v>1</v>
      </c>
      <c r="P376" s="88" t="s">
        <v>313</v>
      </c>
      <c r="Q376" s="91">
        <f t="shared" si="53"/>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54"/>
        <v>modesg_out_bens_imoveisflg_rsc_fsc_agd</v>
      </c>
      <c r="B377" s="68" t="s">
        <v>26</v>
      </c>
      <c r="C377" s="69" t="s">
        <v>311</v>
      </c>
      <c r="D377" s="65" t="s">
        <v>40</v>
      </c>
      <c r="E377" s="67" t="s">
        <v>312</v>
      </c>
      <c r="F377" s="65" t="s">
        <v>283</v>
      </c>
      <c r="G377" s="65" t="str">
        <f>INDEX(Auxiliar!$B$16:$B$24,MATCH(Plano_V3!H377,Auxiliar!$C$16:$C$24,0),1)</f>
        <v>2.1 Em Teste</v>
      </c>
      <c r="H377" s="65">
        <f>VLOOKUP(A377,'Aux - pivots1'!$A:$B,2,0)</f>
        <v>2</v>
      </c>
      <c r="I377" s="189">
        <f>SUMIFS(Table1[Estimação (horas)],Table1[Tabela],Plano_V3!E377,Table1[Campo],Plano_V3!F377)</f>
        <v>16.100000000000001</v>
      </c>
      <c r="J377" s="189">
        <f t="shared" si="55"/>
        <v>2.0125000000000002</v>
      </c>
      <c r="K377" s="189">
        <f>SUMIFS(Table1[Horas efetivas],Table1[Tabela],Plano_V3!E377,Table1[Campo],Plano_V3!F377)</f>
        <v>8.0500000000000007</v>
      </c>
      <c r="L377" s="189">
        <f t="shared" si="56"/>
        <v>1.0062500000000001</v>
      </c>
      <c r="M377" s="183"/>
      <c r="N377" s="183">
        <f t="shared" si="57"/>
        <v>0.5</v>
      </c>
      <c r="O377" s="183">
        <f t="shared" si="52"/>
        <v>0.5</v>
      </c>
      <c r="P377" s="88" t="s">
        <v>313</v>
      </c>
      <c r="Q377" s="91">
        <f t="shared" si="53"/>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54"/>
        <v>modesg_out_bens_imoveisflg_rsc_fsc_crnc</v>
      </c>
      <c r="B378" s="68" t="s">
        <v>26</v>
      </c>
      <c r="C378" s="69" t="s">
        <v>311</v>
      </c>
      <c r="D378" s="65" t="s">
        <v>40</v>
      </c>
      <c r="E378" s="67" t="s">
        <v>312</v>
      </c>
      <c r="F378" s="65" t="s">
        <v>284</v>
      </c>
      <c r="G378" s="65" t="str">
        <f>INDEX(Auxiliar!$B$16:$B$24,MATCH(Plano_V3!H378,Auxiliar!$C$16:$C$24,0),1)</f>
        <v>2.1 Em Teste</v>
      </c>
      <c r="H378" s="65">
        <f>VLOOKUP(A378,'Aux - pivots1'!$A:$B,2,0)</f>
        <v>2</v>
      </c>
      <c r="I378" s="189">
        <f>SUMIFS(Table1[Estimação (horas)],Table1[Tabela],Plano_V3!E378,Table1[Campo],Plano_V3!F378)</f>
        <v>16.100000000000001</v>
      </c>
      <c r="J378" s="189">
        <f t="shared" si="55"/>
        <v>2.0125000000000002</v>
      </c>
      <c r="K378" s="189">
        <f>SUMIFS(Table1[Horas efetivas],Table1[Tabela],Plano_V3!E378,Table1[Campo],Plano_V3!F378)</f>
        <v>8.0500000000000007</v>
      </c>
      <c r="L378" s="189">
        <f t="shared" si="56"/>
        <v>1.0062500000000001</v>
      </c>
      <c r="M378" s="183"/>
      <c r="N378" s="183">
        <f t="shared" si="57"/>
        <v>0.5</v>
      </c>
      <c r="O378" s="183">
        <f t="shared" si="52"/>
        <v>0.5</v>
      </c>
      <c r="P378" s="88" t="s">
        <v>313</v>
      </c>
      <c r="Q378" s="91">
        <f t="shared" si="53"/>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54"/>
        <v>modesg_out_bens_imoveisorigem_flg_rsc_fsc_agd</v>
      </c>
      <c r="B379" s="68" t="s">
        <v>26</v>
      </c>
      <c r="C379" s="69" t="s">
        <v>311</v>
      </c>
      <c r="D379" s="65" t="s">
        <v>40</v>
      </c>
      <c r="E379" s="67" t="s">
        <v>312</v>
      </c>
      <c r="F379" s="65" t="s">
        <v>318</v>
      </c>
      <c r="G379" s="65" t="str">
        <f>INDEX(Auxiliar!$B$16:$B$24,MATCH(Plano_V3!H379,Auxiliar!$C$16:$C$24,0),1)</f>
        <v>2.1 Em Teste</v>
      </c>
      <c r="H379" s="65">
        <f>VLOOKUP(A379,'Aux - pivots1'!$A:$B,2,0)</f>
        <v>2</v>
      </c>
      <c r="I379" s="189">
        <f>SUMIFS(Table1[Estimação (horas)],Table1[Tabela],Plano_V3!E379,Table1[Campo],Plano_V3!F379)</f>
        <v>4.0999999999999996</v>
      </c>
      <c r="J379" s="189">
        <f t="shared" si="55"/>
        <v>0.51249999999999996</v>
      </c>
      <c r="K379" s="189">
        <f>SUMIFS(Table1[Horas efetivas],Table1[Tabela],Plano_V3!E379,Table1[Campo],Plano_V3!F379)</f>
        <v>2.0499999999999998</v>
      </c>
      <c r="L379" s="189">
        <f t="shared" si="56"/>
        <v>0.25624999999999998</v>
      </c>
      <c r="M379" s="183"/>
      <c r="N379" s="183">
        <f t="shared" si="57"/>
        <v>0.5</v>
      </c>
      <c r="O379" s="183">
        <f t="shared" si="52"/>
        <v>0.5</v>
      </c>
      <c r="P379" s="88" t="s">
        <v>313</v>
      </c>
      <c r="Q379" s="91">
        <f t="shared" si="53"/>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54"/>
        <v>modesg_out_bens_imoveisorigem_flg_rsc_fsc_crnc</v>
      </c>
      <c r="B380" s="68" t="s">
        <v>26</v>
      </c>
      <c r="C380" s="69" t="s">
        <v>311</v>
      </c>
      <c r="D380" s="65" t="s">
        <v>40</v>
      </c>
      <c r="E380" s="67" t="s">
        <v>312</v>
      </c>
      <c r="F380" s="65" t="s">
        <v>319</v>
      </c>
      <c r="G380" s="65" t="str">
        <f>INDEX(Auxiliar!$B$16:$B$24,MATCH(Plano_V3!H380,Auxiliar!$C$16:$C$24,0),1)</f>
        <v>2.1 Em Teste</v>
      </c>
      <c r="H380" s="65">
        <f>VLOOKUP(A380,'Aux - pivots1'!$A:$B,2,0)</f>
        <v>2</v>
      </c>
      <c r="I380" s="189">
        <f>SUMIFS(Table1[Estimação (horas)],Table1[Tabela],Plano_V3!E380,Table1[Campo],Plano_V3!F380)</f>
        <v>4.0999999999999996</v>
      </c>
      <c r="J380" s="189">
        <f t="shared" si="55"/>
        <v>0.51249999999999996</v>
      </c>
      <c r="K380" s="189">
        <f>SUMIFS(Table1[Horas efetivas],Table1[Tabela],Plano_V3!E380,Table1[Campo],Plano_V3!F380)</f>
        <v>2.0499999999999998</v>
      </c>
      <c r="L380" s="189">
        <f t="shared" si="56"/>
        <v>0.25624999999999998</v>
      </c>
      <c r="M380" s="183"/>
      <c r="N380" s="183">
        <f t="shared" si="57"/>
        <v>0.5</v>
      </c>
      <c r="O380" s="183">
        <f t="shared" si="52"/>
        <v>0.5</v>
      </c>
      <c r="P380" s="88" t="s">
        <v>313</v>
      </c>
      <c r="Q380" s="91">
        <f t="shared" si="53"/>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54"/>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55"/>
        <v>0.51249999999999996</v>
      </c>
      <c r="K381" s="189">
        <f>SUMIFS(Table1[Horas efetivas],Table1[Tabela],Plano_V3!E381,Table1[Campo],Plano_V3!F381)</f>
        <v>4.0999999999999996</v>
      </c>
      <c r="L381" s="189">
        <f t="shared" si="56"/>
        <v>0.51249999999999996</v>
      </c>
      <c r="M381" s="183"/>
      <c r="N381" s="183">
        <f t="shared" si="57"/>
        <v>1</v>
      </c>
      <c r="O381" s="183">
        <f t="shared" si="52"/>
        <v>1</v>
      </c>
      <c r="P381" s="88" t="s">
        <v>313</v>
      </c>
      <c r="Q381" s="91">
        <f t="shared" si="53"/>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54"/>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55"/>
        <v>0.51249999999999996</v>
      </c>
      <c r="K382" s="189">
        <f>SUMIFS(Table1[Horas efetivas],Table1[Tabela],Plano_V3!E382,Table1[Campo],Plano_V3!F382)</f>
        <v>4.0999999999999996</v>
      </c>
      <c r="L382" s="189">
        <f t="shared" si="56"/>
        <v>0.51249999999999996</v>
      </c>
      <c r="M382" s="183"/>
      <c r="N382" s="183">
        <f t="shared" si="57"/>
        <v>1</v>
      </c>
      <c r="O382" s="183">
        <f t="shared" si="52"/>
        <v>1</v>
      </c>
      <c r="P382" s="88" t="s">
        <v>313</v>
      </c>
      <c r="Q382" s="91">
        <f t="shared" si="53"/>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54"/>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55"/>
        <v>0.51249999999999996</v>
      </c>
      <c r="K383" s="189">
        <f>SUMIFS(Table1[Horas efetivas],Table1[Tabela],Plano_V3!E383,Table1[Campo],Plano_V3!F383)</f>
        <v>4.0999999999999996</v>
      </c>
      <c r="L383" s="189">
        <f t="shared" si="56"/>
        <v>0.51249999999999996</v>
      </c>
      <c r="M383" s="183"/>
      <c r="N383" s="183">
        <f t="shared" si="57"/>
        <v>1</v>
      </c>
      <c r="O383" s="183">
        <f t="shared" si="52"/>
        <v>1</v>
      </c>
      <c r="P383" s="88" t="s">
        <v>313</v>
      </c>
      <c r="Q383" s="91">
        <f t="shared" si="53"/>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54"/>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55"/>
        <v>0.51249999999999996</v>
      </c>
      <c r="K384" s="189">
        <f>SUMIFS(Table1[Horas efetivas],Table1[Tabela],Plano_V3!E384,Table1[Campo],Plano_V3!F384)</f>
        <v>4.0999999999999996</v>
      </c>
      <c r="L384" s="189">
        <f t="shared" si="56"/>
        <v>0.51249999999999996</v>
      </c>
      <c r="M384" s="183"/>
      <c r="N384" s="183">
        <f t="shared" si="57"/>
        <v>1</v>
      </c>
      <c r="O384" s="183">
        <f t="shared" si="52"/>
        <v>1</v>
      </c>
      <c r="P384" s="88" t="s">
        <v>313</v>
      </c>
      <c r="Q384" s="91">
        <f t="shared" si="53"/>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54"/>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89">
        <f>SUMIFS(Table1[Estimação (horas)],Table1[Tabela],Plano_V3!E385,Table1[Campo],Plano_V3!F385)</f>
        <v>8.1</v>
      </c>
      <c r="J385" s="189">
        <f t="shared" si="55"/>
        <v>1.0125</v>
      </c>
      <c r="K385" s="189">
        <f>SUMIFS(Table1[Horas efetivas],Table1[Tabela],Plano_V3!E385,Table1[Campo],Plano_V3!F385)</f>
        <v>8.1</v>
      </c>
      <c r="L385" s="189">
        <f t="shared" si="56"/>
        <v>1.0125</v>
      </c>
      <c r="M385" s="183"/>
      <c r="N385" s="183">
        <f t="shared" si="57"/>
        <v>1</v>
      </c>
      <c r="O385" s="183">
        <f t="shared" si="52"/>
        <v>1</v>
      </c>
      <c r="P385" s="88" t="s">
        <v>313</v>
      </c>
      <c r="Q385" s="91">
        <f t="shared" si="53"/>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54"/>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89">
        <f>SUMIFS(Table1[Estimação (horas)],Table1[Tabela],Plano_V3!E386,Table1[Campo],Plano_V3!F386)</f>
        <v>8.1</v>
      </c>
      <c r="J386" s="189">
        <f t="shared" si="55"/>
        <v>1.0125</v>
      </c>
      <c r="K386" s="189">
        <f>SUMIFS(Table1[Horas efetivas],Table1[Tabela],Plano_V3!E386,Table1[Campo],Plano_V3!F386)</f>
        <v>8.1</v>
      </c>
      <c r="L386" s="189">
        <f t="shared" si="56"/>
        <v>1.0125</v>
      </c>
      <c r="M386" s="183"/>
      <c r="N386" s="183">
        <f t="shared" si="57"/>
        <v>1</v>
      </c>
      <c r="O386" s="183">
        <f t="shared" si="52"/>
        <v>1</v>
      </c>
      <c r="P386" s="88" t="s">
        <v>313</v>
      </c>
      <c r="Q386" s="91">
        <f t="shared" si="53"/>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54"/>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89">
        <f>SUMIFS(Table1[Estimação (horas)],Table1[Tabela],Plano_V3!E387,Table1[Campo],Plano_V3!F387)</f>
        <v>4.0999999999999996</v>
      </c>
      <c r="J387" s="189">
        <f t="shared" si="55"/>
        <v>0.51249999999999996</v>
      </c>
      <c r="K387" s="189">
        <f>SUMIFS(Table1[Horas efetivas],Table1[Tabela],Plano_V3!E387,Table1[Campo],Plano_V3!F387)</f>
        <v>4.0999999999999996</v>
      </c>
      <c r="L387" s="189">
        <f t="shared" si="56"/>
        <v>0.51249999999999996</v>
      </c>
      <c r="M387" s="183"/>
      <c r="N387" s="183">
        <f t="shared" si="57"/>
        <v>1</v>
      </c>
      <c r="O387" s="183">
        <f t="shared" si="52"/>
        <v>1</v>
      </c>
      <c r="P387" s="88" t="s">
        <v>313</v>
      </c>
      <c r="Q387" s="91">
        <f t="shared" si="53"/>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54"/>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55"/>
        <v>0.51249999999999996</v>
      </c>
      <c r="K388" s="189">
        <f>SUMIFS(Table1[Horas efetivas],Table1[Tabela],Plano_V3!E388,Table1[Campo],Plano_V3!F388)</f>
        <v>4.0999999999999996</v>
      </c>
      <c r="L388" s="189">
        <f t="shared" si="56"/>
        <v>0.51249999999999996</v>
      </c>
      <c r="M388" s="183"/>
      <c r="N388" s="183">
        <f t="shared" si="57"/>
        <v>1</v>
      </c>
      <c r="O388" s="183">
        <f t="shared" si="52"/>
        <v>1</v>
      </c>
      <c r="P388" s="88" t="s">
        <v>313</v>
      </c>
      <c r="Q388" s="91">
        <f t="shared" si="53"/>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54"/>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55"/>
        <v>0.51249999999999996</v>
      </c>
      <c r="K389" s="189">
        <f>SUMIFS(Table1[Horas efetivas],Table1[Tabela],Plano_V3!E389,Table1[Campo],Plano_V3!F389)</f>
        <v>4.0999999999999996</v>
      </c>
      <c r="L389" s="189">
        <f t="shared" si="56"/>
        <v>0.51249999999999996</v>
      </c>
      <c r="M389" s="183"/>
      <c r="N389" s="183">
        <f t="shared" si="57"/>
        <v>1</v>
      </c>
      <c r="O389" s="183">
        <f t="shared" si="52"/>
        <v>1</v>
      </c>
      <c r="P389" s="88" t="s">
        <v>313</v>
      </c>
      <c r="Q389" s="91">
        <f t="shared" si="53"/>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54"/>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55"/>
        <v>0.51249999999999996</v>
      </c>
      <c r="K390" s="189">
        <f>SUMIFS(Table1[Horas efetivas],Table1[Tabela],Plano_V3!E390,Table1[Campo],Plano_V3!F390)</f>
        <v>4.0999999999999996</v>
      </c>
      <c r="L390" s="189">
        <f t="shared" si="56"/>
        <v>0.51249999999999996</v>
      </c>
      <c r="M390" s="183"/>
      <c r="N390" s="183">
        <f t="shared" si="57"/>
        <v>1</v>
      </c>
      <c r="O390" s="183">
        <f t="shared" si="52"/>
        <v>1</v>
      </c>
      <c r="P390" s="88" t="s">
        <v>313</v>
      </c>
      <c r="Q390" s="91">
        <f t="shared" si="53"/>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54"/>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89">
        <f>SUMIFS(Table1[Estimação (horas)],Table1[Tabela],Plano_V3!E391,Table1[Campo],Plano_V3!F391)</f>
        <v>8</v>
      </c>
      <c r="J391" s="189">
        <f t="shared" si="55"/>
        <v>1</v>
      </c>
      <c r="K391" s="189">
        <f>SUMIFS(Table1[Horas efetivas],Table1[Tabela],Plano_V3!E391,Table1[Campo],Plano_V3!F391)</f>
        <v>8</v>
      </c>
      <c r="L391" s="189">
        <f t="shared" si="56"/>
        <v>1</v>
      </c>
      <c r="M391" s="183"/>
      <c r="N391" s="183">
        <f t="shared" si="57"/>
        <v>1</v>
      </c>
      <c r="O391" s="183">
        <f t="shared" si="52"/>
        <v>1</v>
      </c>
      <c r="P391" s="88" t="s">
        <v>327</v>
      </c>
      <c r="Q391" s="91">
        <f t="shared" si="53"/>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54"/>
        <v>modesg_out_empr_info_nfincca_capex_enblng_algnd</v>
      </c>
      <c r="B392" s="68" t="s">
        <v>26</v>
      </c>
      <c r="C392" s="69" t="s">
        <v>311</v>
      </c>
      <c r="D392" s="65" t="s">
        <v>40</v>
      </c>
      <c r="E392" s="67" t="s">
        <v>326</v>
      </c>
      <c r="F392" s="65" t="s">
        <v>250</v>
      </c>
      <c r="G392" s="65" t="str">
        <f>INDEX(Auxiliar!$B$16:$B$24,MATCH(Plano_V3!H392,Auxiliar!$C$16:$C$24,0),1)</f>
        <v>1. Concluído</v>
      </c>
      <c r="H392" s="65">
        <f>VLOOKUP(A392,'Aux - pivots1'!$A:$B,2,0)</f>
        <v>1</v>
      </c>
      <c r="I392" s="189">
        <f>SUMIFS(Table1[Estimação (horas)],Table1[Tabela],Plano_V3!E392,Table1[Campo],Plano_V3!F392)</f>
        <v>16.100000000000001</v>
      </c>
      <c r="J392" s="189">
        <f t="shared" si="55"/>
        <v>2.0125000000000002</v>
      </c>
      <c r="K392" s="189">
        <f>SUMIFS(Table1[Horas efetivas],Table1[Tabela],Plano_V3!E392,Table1[Campo],Plano_V3!F392)</f>
        <v>16.100000000000001</v>
      </c>
      <c r="L392" s="189">
        <f t="shared" si="56"/>
        <v>2.0125000000000002</v>
      </c>
      <c r="M392" s="183"/>
      <c r="N392" s="183">
        <f t="shared" si="57"/>
        <v>1</v>
      </c>
      <c r="O392" s="183">
        <f t="shared" si="52"/>
        <v>1</v>
      </c>
      <c r="P392" s="88" t="s">
        <v>327</v>
      </c>
      <c r="Q392" s="91">
        <f t="shared" si="53"/>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54"/>
        <v>modesg_out_empr_info_nfincca_capex_own_prfrmnce_algnd</v>
      </c>
      <c r="B393" s="68" t="s">
        <v>26</v>
      </c>
      <c r="C393" s="69" t="s">
        <v>311</v>
      </c>
      <c r="D393" s="65" t="s">
        <v>40</v>
      </c>
      <c r="E393" s="67" t="s">
        <v>326</v>
      </c>
      <c r="F393" s="65" t="s">
        <v>251</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55"/>
        <v>2.0125000000000002</v>
      </c>
      <c r="K393" s="189">
        <f>SUMIFS(Table1[Horas efetivas],Table1[Tabela],Plano_V3!E393,Table1[Campo],Plano_V3!F393)</f>
        <v>16.100000000000001</v>
      </c>
      <c r="L393" s="189">
        <f t="shared" si="56"/>
        <v>2.0125000000000002</v>
      </c>
      <c r="M393" s="183"/>
      <c r="N393" s="183">
        <f t="shared" si="57"/>
        <v>1</v>
      </c>
      <c r="O393" s="183">
        <f t="shared" si="52"/>
        <v>1</v>
      </c>
      <c r="P393" s="88" t="s">
        <v>327</v>
      </c>
      <c r="Q393" s="91">
        <f t="shared" si="53"/>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54"/>
        <v>modesg_out_empr_info_nfincca_capex_ttl_elgbl</v>
      </c>
      <c r="B394" s="68" t="s">
        <v>26</v>
      </c>
      <c r="C394" s="69" t="s">
        <v>311</v>
      </c>
      <c r="D394" s="65" t="s">
        <v>40</v>
      </c>
      <c r="E394" s="67" t="s">
        <v>326</v>
      </c>
      <c r="F394" s="65" t="s">
        <v>249</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55"/>
        <v>2.0125000000000002</v>
      </c>
      <c r="K394" s="189">
        <f>SUMIFS(Table1[Horas efetivas],Table1[Tabela],Plano_V3!E394,Table1[Campo],Plano_V3!F394)</f>
        <v>16.100000000000001</v>
      </c>
      <c r="L394" s="189">
        <f t="shared" si="56"/>
        <v>2.0125000000000002</v>
      </c>
      <c r="M394" s="183"/>
      <c r="N394" s="183">
        <f t="shared" si="57"/>
        <v>1</v>
      </c>
      <c r="O394" s="183">
        <f t="shared" si="52"/>
        <v>1</v>
      </c>
      <c r="P394" s="88" t="s">
        <v>327</v>
      </c>
      <c r="Q394" s="91">
        <f t="shared" si="53"/>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54"/>
        <v>modesg_out_empr_info_nfincca_trnvr_enblng_alignd</v>
      </c>
      <c r="B395" s="68" t="s">
        <v>26</v>
      </c>
      <c r="C395" s="69" t="s">
        <v>311</v>
      </c>
      <c r="D395" s="65" t="s">
        <v>40</v>
      </c>
      <c r="E395" s="67" t="s">
        <v>326</v>
      </c>
      <c r="F395" s="65" t="s">
        <v>247</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55"/>
        <v>2.0125000000000002</v>
      </c>
      <c r="K395" s="189">
        <f>SUMIFS(Table1[Horas efetivas],Table1[Tabela],Plano_V3!E395,Table1[Campo],Plano_V3!F395)</f>
        <v>16.100000000000001</v>
      </c>
      <c r="L395" s="189">
        <f t="shared" si="56"/>
        <v>2.0125000000000002</v>
      </c>
      <c r="M395" s="183"/>
      <c r="N395" s="183">
        <f t="shared" si="57"/>
        <v>1</v>
      </c>
      <c r="O395" s="183">
        <f t="shared" si="52"/>
        <v>1</v>
      </c>
      <c r="P395" s="88" t="s">
        <v>327</v>
      </c>
      <c r="Q395" s="91">
        <f t="shared" si="53"/>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54"/>
        <v>modesg_out_empr_info_nfincca_trnvr_ttl_elgbl</v>
      </c>
      <c r="B396" s="68" t="s">
        <v>26</v>
      </c>
      <c r="C396" s="69" t="s">
        <v>311</v>
      </c>
      <c r="D396" s="65" t="s">
        <v>40</v>
      </c>
      <c r="E396" s="67" t="s">
        <v>326</v>
      </c>
      <c r="F396" s="65" t="s">
        <v>246</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55"/>
        <v>2.0125000000000002</v>
      </c>
      <c r="K396" s="189">
        <f>SUMIFS(Table1[Horas efetivas],Table1[Tabela],Plano_V3!E396,Table1[Campo],Plano_V3!F396)</f>
        <v>16.100000000000001</v>
      </c>
      <c r="L396" s="189">
        <f t="shared" si="56"/>
        <v>2.0125000000000002</v>
      </c>
      <c r="M396" s="183"/>
      <c r="N396" s="183">
        <f t="shared" si="57"/>
        <v>1</v>
      </c>
      <c r="O396" s="183">
        <f t="shared" si="52"/>
        <v>1</v>
      </c>
      <c r="P396" s="88" t="s">
        <v>327</v>
      </c>
      <c r="Q396" s="91">
        <f t="shared" si="53"/>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54"/>
        <v>modesg_out_empr_info_nfincca_turnover_own_prfrmnce_algnd</v>
      </c>
      <c r="B397" s="68" t="s">
        <v>26</v>
      </c>
      <c r="C397" s="69" t="s">
        <v>311</v>
      </c>
      <c r="D397" s="65" t="s">
        <v>40</v>
      </c>
      <c r="E397" s="67" t="s">
        <v>326</v>
      </c>
      <c r="F397" s="65" t="s">
        <v>248</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55"/>
        <v>2.0125000000000002</v>
      </c>
      <c r="K397" s="189">
        <f>SUMIFS(Table1[Horas efetivas],Table1[Tabela],Plano_V3!E397,Table1[Campo],Plano_V3!F397)</f>
        <v>16.100000000000001</v>
      </c>
      <c r="L397" s="189">
        <f t="shared" si="56"/>
        <v>2.0125000000000002</v>
      </c>
      <c r="M397" s="183"/>
      <c r="N397" s="183">
        <f t="shared" si="57"/>
        <v>1</v>
      </c>
      <c r="O397" s="183">
        <f t="shared" si="52"/>
        <v>1</v>
      </c>
      <c r="P397" s="88" t="s">
        <v>327</v>
      </c>
      <c r="Q397" s="91">
        <f t="shared" si="53"/>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54"/>
        <v>modesg_out_empr_info_nfinccm_capex_enblng_algnd</v>
      </c>
      <c r="B398" s="68" t="s">
        <v>26</v>
      </c>
      <c r="C398" s="69" t="s">
        <v>311</v>
      </c>
      <c r="D398" s="65" t="s">
        <v>40</v>
      </c>
      <c r="E398" s="67" t="s">
        <v>326</v>
      </c>
      <c r="F398" s="65" t="s">
        <v>257</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55"/>
        <v>2.0125000000000002</v>
      </c>
      <c r="K398" s="189">
        <f>SUMIFS(Table1[Horas efetivas],Table1[Tabela],Plano_V3!E398,Table1[Campo],Plano_V3!F398)</f>
        <v>16.100000000000001</v>
      </c>
      <c r="L398" s="189">
        <f t="shared" si="56"/>
        <v>2.0125000000000002</v>
      </c>
      <c r="M398" s="183"/>
      <c r="N398" s="183">
        <f t="shared" si="57"/>
        <v>1</v>
      </c>
      <c r="O398" s="183">
        <f t="shared" si="52"/>
        <v>1</v>
      </c>
      <c r="P398" s="88" t="s">
        <v>327</v>
      </c>
      <c r="Q398" s="91">
        <f t="shared" si="53"/>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54"/>
        <v>modesg_out_empr_info_nfinccm_capex_own_prfrmnce_algnd</v>
      </c>
      <c r="B399" s="68" t="s">
        <v>26</v>
      </c>
      <c r="C399" s="69" t="s">
        <v>311</v>
      </c>
      <c r="D399" s="65" t="s">
        <v>40</v>
      </c>
      <c r="E399" s="67" t="s">
        <v>326</v>
      </c>
      <c r="F399" s="65" t="s">
        <v>259</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55"/>
        <v>2.0125000000000002</v>
      </c>
      <c r="K399" s="189">
        <f>SUMIFS(Table1[Horas efetivas],Table1[Tabela],Plano_V3!E399,Table1[Campo],Plano_V3!F399)</f>
        <v>16.100000000000001</v>
      </c>
      <c r="L399" s="189">
        <f t="shared" si="56"/>
        <v>2.0125000000000002</v>
      </c>
      <c r="M399" s="183"/>
      <c r="N399" s="183">
        <f t="shared" si="57"/>
        <v>1</v>
      </c>
      <c r="O399" s="183">
        <f t="shared" si="52"/>
        <v>1</v>
      </c>
      <c r="P399" s="88" t="s">
        <v>327</v>
      </c>
      <c r="Q399" s="91">
        <f t="shared" si="53"/>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54"/>
        <v>modesg_out_empr_info_nfinccm_capex_trnstn_algnd</v>
      </c>
      <c r="B400" s="68" t="s">
        <v>26</v>
      </c>
      <c r="C400" s="69" t="s">
        <v>311</v>
      </c>
      <c r="D400" s="65" t="s">
        <v>40</v>
      </c>
      <c r="E400" s="67" t="s">
        <v>326</v>
      </c>
      <c r="F400" s="65" t="s">
        <v>258</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55"/>
        <v>2.0125000000000002</v>
      </c>
      <c r="K400" s="189">
        <f>SUMIFS(Table1[Horas efetivas],Table1[Tabela],Plano_V3!E400,Table1[Campo],Plano_V3!F400)</f>
        <v>16.100000000000001</v>
      </c>
      <c r="L400" s="189">
        <f t="shared" si="56"/>
        <v>2.0125000000000002</v>
      </c>
      <c r="M400" s="183"/>
      <c r="N400" s="183">
        <f t="shared" si="57"/>
        <v>1</v>
      </c>
      <c r="O400" s="183">
        <f t="shared" si="52"/>
        <v>1</v>
      </c>
      <c r="P400" s="88" t="s">
        <v>327</v>
      </c>
      <c r="Q400" s="91">
        <f t="shared" si="53"/>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54"/>
        <v>modesg_out_empr_info_nfinccm_capex_ttl_elgbl</v>
      </c>
      <c r="B401" s="68" t="s">
        <v>26</v>
      </c>
      <c r="C401" s="69" t="s">
        <v>311</v>
      </c>
      <c r="D401" s="65" t="s">
        <v>40</v>
      </c>
      <c r="E401" s="67" t="s">
        <v>326</v>
      </c>
      <c r="F401" s="65" t="s">
        <v>256</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55"/>
        <v>2.0125000000000002</v>
      </c>
      <c r="K401" s="189">
        <f>SUMIFS(Table1[Horas efetivas],Table1[Tabela],Plano_V3!E401,Table1[Campo],Plano_V3!F401)</f>
        <v>16.100000000000001</v>
      </c>
      <c r="L401" s="189">
        <f t="shared" si="56"/>
        <v>2.0125000000000002</v>
      </c>
      <c r="M401" s="183"/>
      <c r="N401" s="183">
        <f t="shared" si="57"/>
        <v>1</v>
      </c>
      <c r="O401" s="183">
        <f t="shared" si="52"/>
        <v>1</v>
      </c>
      <c r="P401" s="88" t="s">
        <v>327</v>
      </c>
      <c r="Q401" s="91">
        <f t="shared" si="53"/>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54"/>
        <v>modesg_out_empr_info_nfinccm_trnvr_enblng_algnd</v>
      </c>
      <c r="B402" s="68" t="s">
        <v>26</v>
      </c>
      <c r="C402" s="69" t="s">
        <v>311</v>
      </c>
      <c r="D402" s="65" t="s">
        <v>40</v>
      </c>
      <c r="E402" s="67" t="s">
        <v>326</v>
      </c>
      <c r="F402" s="65" t="s">
        <v>253</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55"/>
        <v>2.0125000000000002</v>
      </c>
      <c r="K402" s="189">
        <f>SUMIFS(Table1[Horas efetivas],Table1[Tabela],Plano_V3!E402,Table1[Campo],Plano_V3!F402)</f>
        <v>16.100000000000001</v>
      </c>
      <c r="L402" s="189">
        <f t="shared" si="56"/>
        <v>2.0125000000000002</v>
      </c>
      <c r="M402" s="183"/>
      <c r="N402" s="183">
        <f t="shared" si="57"/>
        <v>1</v>
      </c>
      <c r="O402" s="183">
        <f t="shared" si="52"/>
        <v>1</v>
      </c>
      <c r="P402" s="88" t="s">
        <v>327</v>
      </c>
      <c r="Q402" s="91">
        <f t="shared" si="53"/>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54"/>
        <v>modesg_out_empr_info_nfinccm_trnvr_own_prfrmnce_algnd</v>
      </c>
      <c r="B403" s="68" t="s">
        <v>26</v>
      </c>
      <c r="C403" s="69" t="s">
        <v>311</v>
      </c>
      <c r="D403" s="65" t="s">
        <v>40</v>
      </c>
      <c r="E403" s="67" t="s">
        <v>326</v>
      </c>
      <c r="F403" s="65" t="s">
        <v>255</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55"/>
        <v>2.0125000000000002</v>
      </c>
      <c r="K403" s="189">
        <f>SUMIFS(Table1[Horas efetivas],Table1[Tabela],Plano_V3!E403,Table1[Campo],Plano_V3!F403)</f>
        <v>16.100000000000001</v>
      </c>
      <c r="L403" s="189">
        <f t="shared" si="56"/>
        <v>2.0125000000000002</v>
      </c>
      <c r="M403" s="183"/>
      <c r="N403" s="183">
        <f t="shared" si="57"/>
        <v>1</v>
      </c>
      <c r="O403" s="183">
        <f t="shared" si="52"/>
        <v>1</v>
      </c>
      <c r="P403" s="88" t="s">
        <v>327</v>
      </c>
      <c r="Q403" s="91">
        <f t="shared" si="53"/>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54"/>
        <v>modesg_out_empr_info_nfinccm_trnvr_trnstn_alignd</v>
      </c>
      <c r="B404" s="68" t="s">
        <v>26</v>
      </c>
      <c r="C404" s="69" t="s">
        <v>311</v>
      </c>
      <c r="D404" s="65" t="s">
        <v>40</v>
      </c>
      <c r="E404" s="67" t="s">
        <v>326</v>
      </c>
      <c r="F404" s="65" t="s">
        <v>254</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55"/>
        <v>2.0125000000000002</v>
      </c>
      <c r="K404" s="189">
        <f>SUMIFS(Table1[Horas efetivas],Table1[Tabela],Plano_V3!E404,Table1[Campo],Plano_V3!F404)</f>
        <v>16.100000000000001</v>
      </c>
      <c r="L404" s="189">
        <f t="shared" si="56"/>
        <v>2.0125000000000002</v>
      </c>
      <c r="M404" s="183"/>
      <c r="N404" s="183">
        <f t="shared" si="57"/>
        <v>1</v>
      </c>
      <c r="O404" s="183">
        <f t="shared" si="52"/>
        <v>1</v>
      </c>
      <c r="P404" s="88" t="s">
        <v>327</v>
      </c>
      <c r="Q404" s="91">
        <f t="shared" si="53"/>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54"/>
        <v>modesg_out_empr_info_nfinccm_trnvr_ttl_elgbl</v>
      </c>
      <c r="B405" s="68" t="s">
        <v>26</v>
      </c>
      <c r="C405" s="69" t="s">
        <v>311</v>
      </c>
      <c r="D405" s="65" t="s">
        <v>40</v>
      </c>
      <c r="E405" s="67" t="s">
        <v>326</v>
      </c>
      <c r="F405" s="65" t="s">
        <v>252</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55"/>
        <v>2.0125000000000002</v>
      </c>
      <c r="K405" s="189">
        <f>SUMIFS(Table1[Horas efetivas],Table1[Tabela],Plano_V3!E405,Table1[Campo],Plano_V3!F405)</f>
        <v>16.100000000000001</v>
      </c>
      <c r="L405" s="189">
        <f t="shared" si="56"/>
        <v>2.0125000000000002</v>
      </c>
      <c r="M405" s="183"/>
      <c r="N405" s="183">
        <f t="shared" si="57"/>
        <v>1</v>
      </c>
      <c r="O405" s="183">
        <f t="shared" si="52"/>
        <v>1</v>
      </c>
      <c r="P405" s="88" t="s">
        <v>327</v>
      </c>
      <c r="Q405" s="91">
        <f t="shared" si="53"/>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54"/>
        <v>modesg_out_empr_info_nfincod_nace_esg</v>
      </c>
      <c r="B406" s="68" t="s">
        <v>26</v>
      </c>
      <c r="C406" s="69" t="s">
        <v>311</v>
      </c>
      <c r="D406" s="65" t="s">
        <v>40</v>
      </c>
      <c r="E406" s="67" t="s">
        <v>326</v>
      </c>
      <c r="F406" s="65" t="s">
        <v>282</v>
      </c>
      <c r="G406" s="65" t="str">
        <f>INDEX(Auxiliar!$B$16:$B$24,MATCH(Plano_V3!H406,Auxiliar!$C$16:$C$24,0),1)</f>
        <v>2.2 Em Re-especificação</v>
      </c>
      <c r="H406" s="65">
        <f>VLOOKUP(A406,'Aux - pivots1'!$A:$B,2,0)</f>
        <v>3</v>
      </c>
      <c r="I406" s="189">
        <f>SUMIFS(Table1[Estimação (horas)],Table1[Tabela],Plano_V3!E406,Table1[Campo],Plano_V3!F406)</f>
        <v>16.100000000000001</v>
      </c>
      <c r="J406" s="189">
        <f t="shared" si="55"/>
        <v>2.0125000000000002</v>
      </c>
      <c r="K406" s="189">
        <f>SUMIFS(Table1[Horas efetivas],Table1[Tabela],Plano_V3!E406,Table1[Campo],Plano_V3!F406)</f>
        <v>8.0500000000000007</v>
      </c>
      <c r="L406" s="189">
        <f t="shared" si="56"/>
        <v>1.0062500000000001</v>
      </c>
      <c r="M406" s="183"/>
      <c r="N406" s="183">
        <f t="shared" si="57"/>
        <v>0.5</v>
      </c>
      <c r="O406" s="183">
        <f t="shared" si="52"/>
        <v>0.5</v>
      </c>
      <c r="P406" s="88" t="s">
        <v>327</v>
      </c>
      <c r="Q406" s="91">
        <f t="shared" si="53"/>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54"/>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89">
        <f>SUMIFS(Table1[Estimação (horas)],Table1[Tabela],Plano_V3!E407,Table1[Campo],Plano_V3!F407)</f>
        <v>8.1</v>
      </c>
      <c r="J407" s="189">
        <f t="shared" si="55"/>
        <v>1.0125</v>
      </c>
      <c r="K407" s="189">
        <f>SUMIFS(Table1[Horas efetivas],Table1[Tabela],Plano_V3!E407,Table1[Campo],Plano_V3!F407)</f>
        <v>4.05</v>
      </c>
      <c r="L407" s="189">
        <f t="shared" si="56"/>
        <v>0.50624999999999998</v>
      </c>
      <c r="M407" s="183"/>
      <c r="N407" s="183">
        <f t="shared" si="57"/>
        <v>0.5</v>
      </c>
      <c r="O407" s="183">
        <f t="shared" si="52"/>
        <v>0.5</v>
      </c>
      <c r="P407" s="88" t="s">
        <v>327</v>
      </c>
      <c r="Q407" s="91">
        <f t="shared" si="53"/>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54"/>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89">
        <f>SUMIFS(Table1[Estimação (horas)],Table1[Tabela],Plano_V3!E408,Table1[Campo],Plano_V3!F408)</f>
        <v>8.1</v>
      </c>
      <c r="J408" s="189">
        <f t="shared" si="55"/>
        <v>1.0125</v>
      </c>
      <c r="K408" s="189">
        <f>SUMIFS(Table1[Horas efetivas],Table1[Tabela],Plano_V3!E408,Table1[Campo],Plano_V3!F408)</f>
        <v>4.05</v>
      </c>
      <c r="L408" s="189">
        <f t="shared" si="56"/>
        <v>0.50624999999999998</v>
      </c>
      <c r="M408" s="183"/>
      <c r="N408" s="183">
        <f t="shared" si="57"/>
        <v>0.5</v>
      </c>
      <c r="O408" s="183">
        <f t="shared" si="52"/>
        <v>0.5</v>
      </c>
      <c r="P408" s="88" t="s">
        <v>327</v>
      </c>
      <c r="Q408" s="91">
        <f t="shared" si="53"/>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54"/>
        <v>modesg_out_empr_info_nfinflg_rsc_fsc_agd</v>
      </c>
      <c r="B409" s="68" t="s">
        <v>26</v>
      </c>
      <c r="C409" s="69" t="s">
        <v>311</v>
      </c>
      <c r="D409" s="65" t="s">
        <v>40</v>
      </c>
      <c r="E409" s="67" t="s">
        <v>326</v>
      </c>
      <c r="F409" s="65" t="s">
        <v>283</v>
      </c>
      <c r="G409" s="65" t="str">
        <f>INDEX(Auxiliar!$B$16:$B$24,MATCH(Plano_V3!H409,Auxiliar!$C$16:$C$24,0),1)</f>
        <v>1. Concluído</v>
      </c>
      <c r="H409" s="65">
        <f>VLOOKUP(A409,'Aux - pivots1'!$A:$B,2,0)</f>
        <v>1</v>
      </c>
      <c r="I409" s="189">
        <f>SUMIFS(Table1[Estimação (horas)],Table1[Tabela],Plano_V3!E409,Table1[Campo],Plano_V3!F409)</f>
        <v>16.100000000000001</v>
      </c>
      <c r="J409" s="189">
        <f t="shared" si="55"/>
        <v>2.0125000000000002</v>
      </c>
      <c r="K409" s="189">
        <f>SUMIFS(Table1[Horas efetivas],Table1[Tabela],Plano_V3!E409,Table1[Campo],Plano_V3!F409)</f>
        <v>16.100000000000001</v>
      </c>
      <c r="L409" s="189">
        <f t="shared" si="56"/>
        <v>2.0125000000000002</v>
      </c>
      <c r="M409" s="183"/>
      <c r="N409" s="183">
        <f t="shared" si="57"/>
        <v>1</v>
      </c>
      <c r="O409" s="183">
        <f t="shared" ref="O409:O456" si="58">N409-M409</f>
        <v>1</v>
      </c>
      <c r="P409" s="88" t="s">
        <v>327</v>
      </c>
      <c r="Q409" s="91">
        <f t="shared" si="53"/>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54"/>
        <v>modesg_out_empr_info_nfinflg_rsc_fsc_crnc</v>
      </c>
      <c r="B410" s="68" t="s">
        <v>26</v>
      </c>
      <c r="C410" s="69" t="s">
        <v>311</v>
      </c>
      <c r="D410" s="65" t="s">
        <v>40</v>
      </c>
      <c r="E410" s="67" t="s">
        <v>326</v>
      </c>
      <c r="F410" s="65" t="s">
        <v>284</v>
      </c>
      <c r="G410" s="65" t="str">
        <f>INDEX(Auxiliar!$B$16:$B$24,MATCH(Plano_V3!H410,Auxiliar!$C$16:$C$24,0),1)</f>
        <v>1. Concluído</v>
      </c>
      <c r="H410" s="65">
        <f>VLOOKUP(A410,'Aux - pivots1'!$A:$B,2,0)</f>
        <v>1</v>
      </c>
      <c r="I410" s="189">
        <f>SUMIFS(Table1[Estimação (horas)],Table1[Tabela],Plano_V3!E410,Table1[Campo],Plano_V3!F410)</f>
        <v>16.100000000000001</v>
      </c>
      <c r="J410" s="189">
        <f t="shared" si="55"/>
        <v>2.0125000000000002</v>
      </c>
      <c r="K410" s="189">
        <f>SUMIFS(Table1[Horas efetivas],Table1[Tabela],Plano_V3!E410,Table1[Campo],Plano_V3!F410)</f>
        <v>16.100000000000001</v>
      </c>
      <c r="L410" s="189">
        <f t="shared" si="56"/>
        <v>2.0125000000000002</v>
      </c>
      <c r="M410" s="183"/>
      <c r="N410" s="183">
        <f t="shared" si="57"/>
        <v>1</v>
      </c>
      <c r="O410" s="183">
        <f t="shared" si="58"/>
        <v>1</v>
      </c>
      <c r="P410" s="88" t="s">
        <v>327</v>
      </c>
      <c r="Q410" s="91">
        <f t="shared" si="53"/>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54"/>
        <v>modesg_out_empr_info_nfinorigem_alinhamentos</v>
      </c>
      <c r="B411" s="68" t="s">
        <v>26</v>
      </c>
      <c r="C411" s="69" t="s">
        <v>311</v>
      </c>
      <c r="D411" s="65" t="s">
        <v>40</v>
      </c>
      <c r="E411" s="67" t="s">
        <v>326</v>
      </c>
      <c r="F411" s="65" t="s">
        <v>329</v>
      </c>
      <c r="G411" s="65" t="str">
        <f>INDEX(Auxiliar!$B$16:$B$24,MATCH(Plano_V3!H411,Auxiliar!$C$16:$C$24,0),1)</f>
        <v>1. Concluído</v>
      </c>
      <c r="H411" s="65">
        <f>VLOOKUP(A411,'Aux - pivots1'!$A:$B,2,0)</f>
        <v>1</v>
      </c>
      <c r="I411" s="189">
        <f>SUMIFS(Table1[Estimação (horas)],Table1[Tabela],Plano_V3!E411,Table1[Campo],Plano_V3!F411)</f>
        <v>4.0999999999999996</v>
      </c>
      <c r="J411" s="189">
        <f t="shared" si="55"/>
        <v>0.51249999999999996</v>
      </c>
      <c r="K411" s="189">
        <f>SUMIFS(Table1[Horas efetivas],Table1[Tabela],Plano_V3!E411,Table1[Campo],Plano_V3!F411)</f>
        <v>4.0999999999999996</v>
      </c>
      <c r="L411" s="189">
        <f t="shared" si="56"/>
        <v>0.51249999999999996</v>
      </c>
      <c r="M411" s="183"/>
      <c r="N411" s="183">
        <f t="shared" si="57"/>
        <v>1</v>
      </c>
      <c r="O411" s="183">
        <f t="shared" si="58"/>
        <v>1</v>
      </c>
      <c r="P411" s="88" t="s">
        <v>327</v>
      </c>
      <c r="Q411" s="91">
        <f t="shared" si="53"/>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54"/>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89">
        <f>SUMIFS(Table1[Estimação (horas)],Table1[Tabela],Plano_V3!E412,Table1[Campo],Plano_V3!F412)</f>
        <v>4.0999999999999996</v>
      </c>
      <c r="J412" s="189">
        <f t="shared" si="55"/>
        <v>0.51249999999999996</v>
      </c>
      <c r="K412" s="189">
        <f>SUMIFS(Table1[Horas efetivas],Table1[Tabela],Plano_V3!E412,Table1[Campo],Plano_V3!F412)</f>
        <v>2.0499999999999998</v>
      </c>
      <c r="L412" s="189">
        <f t="shared" si="56"/>
        <v>0.25624999999999998</v>
      </c>
      <c r="M412" s="183"/>
      <c r="N412" s="183">
        <f t="shared" si="57"/>
        <v>0.5</v>
      </c>
      <c r="O412" s="183">
        <f t="shared" si="58"/>
        <v>0.5</v>
      </c>
      <c r="P412" s="88" t="s">
        <v>327</v>
      </c>
      <c r="Q412" s="91">
        <f t="shared" si="53"/>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54"/>
        <v>modesg_out_empr_info_nfinorigem_flg_nfrd</v>
      </c>
      <c r="B413" s="68" t="s">
        <v>26</v>
      </c>
      <c r="C413" s="69" t="s">
        <v>311</v>
      </c>
      <c r="D413" s="65" t="s">
        <v>40</v>
      </c>
      <c r="E413" s="67" t="s">
        <v>326</v>
      </c>
      <c r="F413" s="65" t="s">
        <v>331</v>
      </c>
      <c r="G413" s="65" t="str">
        <f>INDEX(Auxiliar!$B$16:$B$24,MATCH(Plano_V3!H413,Auxiliar!$C$16:$C$24,0),1)</f>
        <v>1. Concluído</v>
      </c>
      <c r="H413" s="65">
        <f>VLOOKUP(A413,'Aux - pivots1'!$A:$B,2,0)</f>
        <v>1</v>
      </c>
      <c r="I413" s="189">
        <f>SUMIFS(Table1[Estimação (horas)],Table1[Tabela],Plano_V3!E413,Table1[Campo],Plano_V3!F413)</f>
        <v>4.0999999999999996</v>
      </c>
      <c r="J413" s="189">
        <f t="shared" si="55"/>
        <v>0.51249999999999996</v>
      </c>
      <c r="K413" s="189">
        <f>SUMIFS(Table1[Horas efetivas],Table1[Tabela],Plano_V3!E413,Table1[Campo],Plano_V3!F413)</f>
        <v>4.0999999999999996</v>
      </c>
      <c r="L413" s="189">
        <f t="shared" si="56"/>
        <v>0.51249999999999996</v>
      </c>
      <c r="M413" s="183"/>
      <c r="N413" s="183">
        <f t="shared" si="57"/>
        <v>1</v>
      </c>
      <c r="O413" s="183">
        <f t="shared" si="58"/>
        <v>1</v>
      </c>
      <c r="P413" s="88" t="s">
        <v>327</v>
      </c>
      <c r="Q413" s="91">
        <f t="shared" si="53"/>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54"/>
        <v>modesg_out_empr_info_nfinorigem_flg_rsc_fsc_agd</v>
      </c>
      <c r="B414" s="68" t="s">
        <v>26</v>
      </c>
      <c r="C414" s="69" t="s">
        <v>311</v>
      </c>
      <c r="D414" s="65" t="s">
        <v>40</v>
      </c>
      <c r="E414" s="67" t="s">
        <v>326</v>
      </c>
      <c r="F414" s="65" t="s">
        <v>318</v>
      </c>
      <c r="G414" s="65" t="str">
        <f>INDEX(Auxiliar!$B$16:$B$24,MATCH(Plano_V3!H414,Auxiliar!$C$16:$C$24,0),1)</f>
        <v>1. Concluído</v>
      </c>
      <c r="H414" s="65">
        <f>VLOOKUP(A414,'Aux - pivots1'!$A:$B,2,0)</f>
        <v>1</v>
      </c>
      <c r="I414" s="189">
        <f>SUMIFS(Table1[Estimação (horas)],Table1[Tabela],Plano_V3!E414,Table1[Campo],Plano_V3!F414)</f>
        <v>4.0999999999999996</v>
      </c>
      <c r="J414" s="189">
        <f t="shared" si="55"/>
        <v>0.51249999999999996</v>
      </c>
      <c r="K414" s="189">
        <f>SUMIFS(Table1[Horas efetivas],Table1[Tabela],Plano_V3!E414,Table1[Campo],Plano_V3!F414)</f>
        <v>4.0999999999999996</v>
      </c>
      <c r="L414" s="189">
        <f t="shared" si="56"/>
        <v>0.51249999999999996</v>
      </c>
      <c r="M414" s="183"/>
      <c r="N414" s="183">
        <f t="shared" si="57"/>
        <v>1</v>
      </c>
      <c r="O414" s="183">
        <f t="shared" si="58"/>
        <v>1</v>
      </c>
      <c r="P414" s="88" t="s">
        <v>327</v>
      </c>
      <c r="Q414" s="91">
        <f t="shared" si="53"/>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54"/>
        <v>modesg_out_empr_info_nfinorigem_flg_rsc_fsc_crnc</v>
      </c>
      <c r="B415" s="68" t="s">
        <v>26</v>
      </c>
      <c r="C415" s="69" t="s">
        <v>311</v>
      </c>
      <c r="D415" s="65" t="s">
        <v>40</v>
      </c>
      <c r="E415" s="67" t="s">
        <v>326</v>
      </c>
      <c r="F415" s="65" t="s">
        <v>319</v>
      </c>
      <c r="G415" s="65" t="str">
        <f>INDEX(Auxiliar!$B$16:$B$24,MATCH(Plano_V3!H415,Auxiliar!$C$16:$C$24,0),1)</f>
        <v>1. Concluído</v>
      </c>
      <c r="H415" s="65">
        <f>VLOOKUP(A415,'Aux - pivots1'!$A:$B,2,0)</f>
        <v>1</v>
      </c>
      <c r="I415" s="189">
        <f>SUMIFS(Table1[Estimação (horas)],Table1[Tabela],Plano_V3!E415,Table1[Campo],Plano_V3!F415)</f>
        <v>4.0999999999999996</v>
      </c>
      <c r="J415" s="189">
        <f t="shared" si="55"/>
        <v>0.51249999999999996</v>
      </c>
      <c r="K415" s="189">
        <f>SUMIFS(Table1[Horas efetivas],Table1[Tabela],Plano_V3!E415,Table1[Campo],Plano_V3!F415)</f>
        <v>4.0999999999999996</v>
      </c>
      <c r="L415" s="189">
        <f t="shared" si="56"/>
        <v>0.51249999999999996</v>
      </c>
      <c r="M415" s="183"/>
      <c r="N415" s="183">
        <f t="shared" si="57"/>
        <v>1</v>
      </c>
      <c r="O415" s="183">
        <f t="shared" si="58"/>
        <v>1</v>
      </c>
      <c r="P415" s="88" t="s">
        <v>327</v>
      </c>
      <c r="Q415" s="91">
        <f t="shared" si="53"/>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54"/>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89">
        <f>SUMIFS(Table1[Estimação (horas)],Table1[Tabela],Plano_V3!E416,Table1[Campo],Plano_V3!F416)</f>
        <v>4.0999999999999996</v>
      </c>
      <c r="J416" s="189">
        <f t="shared" si="55"/>
        <v>0.51249999999999996</v>
      </c>
      <c r="K416" s="189">
        <f>SUMIFS(Table1[Horas efetivas],Table1[Tabela],Plano_V3!E416,Table1[Campo],Plano_V3!F416)</f>
        <v>1.0249999999999999</v>
      </c>
      <c r="L416" s="189">
        <f t="shared" si="56"/>
        <v>0.12812499999999999</v>
      </c>
      <c r="M416" s="183"/>
      <c r="N416" s="183">
        <f t="shared" si="57"/>
        <v>0.25</v>
      </c>
      <c r="O416" s="183">
        <f t="shared" si="58"/>
        <v>0.25</v>
      </c>
      <c r="P416" s="88" t="s">
        <v>327</v>
      </c>
      <c r="Q416" s="91">
        <f t="shared" si="53"/>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54"/>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89">
        <f>SUMIFS(Table1[Estimação (horas)],Table1[Tabela],Plano_V3!E417,Table1[Campo],Plano_V3!F417)</f>
        <v>4.0999999999999996</v>
      </c>
      <c r="J417" s="189">
        <f t="shared" si="55"/>
        <v>0.51249999999999996</v>
      </c>
      <c r="K417" s="189">
        <f>SUMIFS(Table1[Horas efetivas],Table1[Tabela],Plano_V3!E417,Table1[Campo],Plano_V3!F417)</f>
        <v>1.0249999999999999</v>
      </c>
      <c r="L417" s="189">
        <f t="shared" si="56"/>
        <v>0.12812499999999999</v>
      </c>
      <c r="M417" s="183"/>
      <c r="N417" s="183">
        <f t="shared" si="57"/>
        <v>0.25</v>
      </c>
      <c r="O417" s="183">
        <f t="shared" si="58"/>
        <v>0.25</v>
      </c>
      <c r="P417" s="88" t="s">
        <v>327</v>
      </c>
      <c r="Q417" s="91">
        <f t="shared" si="53"/>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54"/>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89">
        <f>SUMIFS(Table1[Estimação (horas)],Table1[Tabela],Plano_V3!E418,Table1[Campo],Plano_V3!F418)</f>
        <v>4.0999999999999996</v>
      </c>
      <c r="J418" s="189">
        <f t="shared" si="55"/>
        <v>0.51249999999999996</v>
      </c>
      <c r="K418" s="189">
        <f>SUMIFS(Table1[Horas efetivas],Table1[Tabela],Plano_V3!E418,Table1[Campo],Plano_V3!F418)</f>
        <v>1.0249999999999999</v>
      </c>
      <c r="L418" s="189">
        <f t="shared" si="56"/>
        <v>0.12812499999999999</v>
      </c>
      <c r="M418" s="183"/>
      <c r="N418" s="183">
        <f t="shared" si="57"/>
        <v>0.25</v>
      </c>
      <c r="O418" s="183">
        <f t="shared" si="58"/>
        <v>0.25</v>
      </c>
      <c r="P418" s="88" t="s">
        <v>327</v>
      </c>
      <c r="Q418" s="91">
        <f t="shared" si="53"/>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54"/>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89">
        <f>SUMIFS(Table1[Estimação (horas)],Table1[Tabela],Plano_V3!E419,Table1[Campo],Plano_V3!F419)</f>
        <v>4.0999999999999996</v>
      </c>
      <c r="J419" s="189">
        <f t="shared" si="55"/>
        <v>0.51249999999999996</v>
      </c>
      <c r="K419" s="189">
        <f>SUMIFS(Table1[Horas efetivas],Table1[Tabela],Plano_V3!E419,Table1[Campo],Plano_V3!F419)</f>
        <v>4.0999999999999996</v>
      </c>
      <c r="L419" s="189">
        <f t="shared" si="56"/>
        <v>0.51249999999999996</v>
      </c>
      <c r="M419" s="183"/>
      <c r="N419" s="183">
        <f t="shared" si="57"/>
        <v>1</v>
      </c>
      <c r="O419" s="183">
        <f t="shared" si="58"/>
        <v>1</v>
      </c>
      <c r="P419" s="88" t="s">
        <v>327</v>
      </c>
      <c r="Q419" s="91">
        <f t="shared" si="53"/>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54"/>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89">
        <f>SUMIFS(Table1[Estimação (horas)],Table1[Tabela],Plano_V3!E420,Table1[Campo],Plano_V3!F420)</f>
        <v>8.1</v>
      </c>
      <c r="J420" s="189">
        <f t="shared" si="55"/>
        <v>1.0125</v>
      </c>
      <c r="K420" s="189">
        <f>SUMIFS(Table1[Horas efetivas],Table1[Tabela],Plano_V3!E420,Table1[Campo],Plano_V3!F420)</f>
        <v>2.0249999999999999</v>
      </c>
      <c r="L420" s="189">
        <f t="shared" si="56"/>
        <v>0.25312499999999999</v>
      </c>
      <c r="M420" s="183"/>
      <c r="N420" s="183">
        <f t="shared" si="57"/>
        <v>0.25</v>
      </c>
      <c r="O420" s="183">
        <f t="shared" si="58"/>
        <v>0.25</v>
      </c>
      <c r="P420" s="88" t="s">
        <v>327</v>
      </c>
      <c r="Q420" s="91">
        <f t="shared" ref="Q420:Q456" si="59">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54"/>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89">
        <f>SUMIFS(Table1[Estimação (horas)],Table1[Tabela],Plano_V3!E421,Table1[Campo],Plano_V3!F421)</f>
        <v>8.1</v>
      </c>
      <c r="J421" s="189">
        <f t="shared" si="55"/>
        <v>1.0125</v>
      </c>
      <c r="K421" s="189">
        <f>SUMIFS(Table1[Horas efetivas],Table1[Tabela],Plano_V3!E421,Table1[Campo],Plano_V3!F421)</f>
        <v>2.0249999999999999</v>
      </c>
      <c r="L421" s="189">
        <f t="shared" si="56"/>
        <v>0.25312499999999999</v>
      </c>
      <c r="M421" s="183"/>
      <c r="N421" s="183">
        <f t="shared" si="57"/>
        <v>0.25</v>
      </c>
      <c r="O421" s="183">
        <f t="shared" si="58"/>
        <v>0.25</v>
      </c>
      <c r="P421" s="88" t="s">
        <v>327</v>
      </c>
      <c r="Q421" s="91">
        <f t="shared" si="59"/>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0">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89">
        <f>SUMIFS(Table1[Estimação (horas)],Table1[Tabela],Plano_V3!E422,Table1[Campo],Plano_V3!F422)</f>
        <v>8.1</v>
      </c>
      <c r="J422" s="189">
        <f t="shared" si="55"/>
        <v>1.0125</v>
      </c>
      <c r="K422" s="189">
        <f>SUMIFS(Table1[Horas efetivas],Table1[Tabela],Plano_V3!E422,Table1[Campo],Plano_V3!F422)</f>
        <v>2.0249999999999999</v>
      </c>
      <c r="L422" s="189">
        <f t="shared" si="56"/>
        <v>0.25312499999999999</v>
      </c>
      <c r="M422" s="183"/>
      <c r="N422" s="183">
        <f t="shared" si="57"/>
        <v>0.25</v>
      </c>
      <c r="O422" s="183">
        <f t="shared" si="58"/>
        <v>0.25</v>
      </c>
      <c r="P422" s="88" t="s">
        <v>327</v>
      </c>
      <c r="Q422" s="91">
        <f t="shared" si="59"/>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0"/>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89">
        <f>SUMIFS(Table1[Estimação (horas)],Table1[Tabela],Plano_V3!E423,Table1[Campo],Plano_V3!F423)</f>
        <v>4.0999999999999996</v>
      </c>
      <c r="J423" s="189">
        <f t="shared" si="55"/>
        <v>0.51249999999999996</v>
      </c>
      <c r="K423" s="189">
        <f>SUMIFS(Table1[Horas efetivas],Table1[Tabela],Plano_V3!E423,Table1[Campo],Plano_V3!F423)</f>
        <v>4.0999999999999996</v>
      </c>
      <c r="L423" s="189">
        <f t="shared" si="56"/>
        <v>0.51249999999999996</v>
      </c>
      <c r="M423" s="183"/>
      <c r="N423" s="183">
        <f t="shared" si="57"/>
        <v>1</v>
      </c>
      <c r="O423" s="183">
        <f t="shared" si="58"/>
        <v>1</v>
      </c>
      <c r="P423" s="88" t="s">
        <v>327</v>
      </c>
      <c r="Q423" s="91">
        <f t="shared" si="59"/>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0"/>
        <v>modesg_out_emss_vclsn.a.</v>
      </c>
      <c r="B424" s="68" t="s">
        <v>26</v>
      </c>
      <c r="C424" s="69" t="s">
        <v>311</v>
      </c>
      <c r="D424" s="65" t="s">
        <v>36</v>
      </c>
      <c r="E424" s="67" t="s">
        <v>332</v>
      </c>
      <c r="F424" s="65" t="s">
        <v>38</v>
      </c>
      <c r="G424" s="65" t="str">
        <f>INDEX(Auxiliar!$B$16:$B$24,MATCH(Plano_V3!H424,Auxiliar!$C$16:$C$24,0),1)</f>
        <v>1. Concluído</v>
      </c>
      <c r="H424" s="65">
        <f>VLOOKUP(A424,'Aux - pivots1'!$A:$B,2,0)</f>
        <v>1</v>
      </c>
      <c r="I424" s="189">
        <f>SUMIFS(Table1[Estimação (horas)],Table1[Tabela],Plano_V3!E424,Table1[Campo],Plano_V3!F424)</f>
        <v>8</v>
      </c>
      <c r="J424" s="189">
        <f t="shared" si="55"/>
        <v>1</v>
      </c>
      <c r="K424" s="189">
        <f>SUMIFS(Table1[Horas efetivas],Table1[Tabela],Plano_V3!E424,Table1[Campo],Plano_V3!F424)</f>
        <v>8</v>
      </c>
      <c r="L424" s="189">
        <f t="shared" si="56"/>
        <v>1</v>
      </c>
      <c r="M424" s="183"/>
      <c r="N424" s="183">
        <f t="shared" si="57"/>
        <v>1</v>
      </c>
      <c r="O424" s="183">
        <f t="shared" si="58"/>
        <v>1</v>
      </c>
      <c r="P424" s="88" t="s">
        <v>333</v>
      </c>
      <c r="Q424" s="91">
        <f t="shared" si="59"/>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0"/>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89">
        <f>SUMIFS(Table1[Estimação (horas)],Table1[Tabela],Plano_V3!E425,Table1[Campo],Plano_V3!F425)</f>
        <v>4.0999999999999996</v>
      </c>
      <c r="J425" s="189">
        <f t="shared" si="55"/>
        <v>0.51249999999999996</v>
      </c>
      <c r="K425" s="189">
        <f>SUMIFS(Table1[Horas efetivas],Table1[Tabela],Plano_V3!E425,Table1[Campo],Plano_V3!F425)</f>
        <v>4.0999999999999996</v>
      </c>
      <c r="L425" s="189">
        <f t="shared" si="56"/>
        <v>0.51249999999999996</v>
      </c>
      <c r="M425" s="183"/>
      <c r="N425" s="183">
        <f t="shared" si="57"/>
        <v>1</v>
      </c>
      <c r="O425" s="183">
        <f t="shared" si="58"/>
        <v>1</v>
      </c>
      <c r="P425" s="88" t="s">
        <v>333</v>
      </c>
      <c r="Q425" s="91">
        <f t="shared" si="59"/>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0"/>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55"/>
        <v>0.51249999999999996</v>
      </c>
      <c r="K426" s="189">
        <f>SUMIFS(Table1[Horas efetivas],Table1[Tabela],Plano_V3!E426,Table1[Campo],Plano_V3!F426)</f>
        <v>4.0999999999999996</v>
      </c>
      <c r="L426" s="189">
        <f t="shared" si="56"/>
        <v>0.51249999999999996</v>
      </c>
      <c r="M426" s="183"/>
      <c r="N426" s="183">
        <f t="shared" si="57"/>
        <v>1</v>
      </c>
      <c r="O426" s="183">
        <f t="shared" si="58"/>
        <v>1</v>
      </c>
      <c r="P426" s="88" t="s">
        <v>333</v>
      </c>
      <c r="Q426" s="91">
        <f t="shared" si="59"/>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0"/>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55"/>
        <v>0.51249999999999996</v>
      </c>
      <c r="K427" s="189">
        <f>SUMIFS(Table1[Horas efetivas],Table1[Tabela],Plano_V3!E427,Table1[Campo],Plano_V3!F427)</f>
        <v>4.0999999999999996</v>
      </c>
      <c r="L427" s="189">
        <f t="shared" si="56"/>
        <v>0.51249999999999996</v>
      </c>
      <c r="M427" s="183"/>
      <c r="N427" s="183">
        <f t="shared" si="57"/>
        <v>1</v>
      </c>
      <c r="O427" s="183">
        <f t="shared" si="58"/>
        <v>1</v>
      </c>
      <c r="P427" s="88" t="s">
        <v>333</v>
      </c>
      <c r="Q427" s="91">
        <f t="shared" si="59"/>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0"/>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55"/>
        <v>0.51249999999999996</v>
      </c>
      <c r="K428" s="189">
        <f>SUMIFS(Table1[Horas efetivas],Table1[Tabela],Plano_V3!E428,Table1[Campo],Plano_V3!F428)</f>
        <v>4.0999999999999996</v>
      </c>
      <c r="L428" s="189">
        <f t="shared" si="56"/>
        <v>0.51249999999999996</v>
      </c>
      <c r="M428" s="183"/>
      <c r="N428" s="183">
        <f t="shared" si="57"/>
        <v>1</v>
      </c>
      <c r="O428" s="183">
        <f t="shared" si="58"/>
        <v>1</v>
      </c>
      <c r="P428" s="88" t="s">
        <v>333</v>
      </c>
      <c r="Q428" s="91">
        <f t="shared" si="59"/>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0"/>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89">
        <f>SUMIFS(Table1[Estimação (horas)],Table1[Tabela],Plano_V3!E429,Table1[Campo],Plano_V3!F429)</f>
        <v>8.1</v>
      </c>
      <c r="J429" s="189">
        <f t="shared" si="55"/>
        <v>1.0125</v>
      </c>
      <c r="K429" s="189">
        <f>SUMIFS(Table1[Horas efetivas],Table1[Tabela],Plano_V3!E429,Table1[Campo],Plano_V3!F429)</f>
        <v>8.1</v>
      </c>
      <c r="L429" s="189">
        <f t="shared" si="56"/>
        <v>1.0125</v>
      </c>
      <c r="M429" s="183"/>
      <c r="N429" s="183">
        <f t="shared" si="57"/>
        <v>1</v>
      </c>
      <c r="O429" s="183">
        <f t="shared" si="58"/>
        <v>1</v>
      </c>
      <c r="P429" s="88" t="s">
        <v>333</v>
      </c>
      <c r="Q429" s="91">
        <f t="shared" si="59"/>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0"/>
        <v>modesg_out_emss_vclsorigem_scp1_emss</v>
      </c>
      <c r="B430" s="68" t="s">
        <v>26</v>
      </c>
      <c r="C430" s="69" t="s">
        <v>311</v>
      </c>
      <c r="D430" s="65" t="s">
        <v>40</v>
      </c>
      <c r="E430" s="67" t="s">
        <v>332</v>
      </c>
      <c r="F430" s="65" t="s">
        <v>320</v>
      </c>
      <c r="G430" s="65" t="str">
        <f>INDEX(Auxiliar!$B$16:$B$24,MATCH(Plano_V3!H430,Auxiliar!$C$16:$C$24,0),1)</f>
        <v>1. Concluído</v>
      </c>
      <c r="H430" s="65">
        <f>VLOOKUP(A430,'Aux - pivots1'!$A:$B,2,0)</f>
        <v>1</v>
      </c>
      <c r="I430" s="189">
        <f>SUMIFS(Table1[Estimação (horas)],Table1[Tabela],Plano_V3!E430,Table1[Campo],Plano_V3!F430)</f>
        <v>8.1</v>
      </c>
      <c r="J430" s="189">
        <f t="shared" si="55"/>
        <v>1.0125</v>
      </c>
      <c r="K430" s="189">
        <f>SUMIFS(Table1[Horas efetivas],Table1[Tabela],Plano_V3!E430,Table1[Campo],Plano_V3!F430)</f>
        <v>8.1</v>
      </c>
      <c r="L430" s="189">
        <f t="shared" si="56"/>
        <v>1.0125</v>
      </c>
      <c r="M430" s="183"/>
      <c r="N430" s="183">
        <f t="shared" si="57"/>
        <v>1</v>
      </c>
      <c r="O430" s="183">
        <f t="shared" si="58"/>
        <v>1</v>
      </c>
      <c r="P430" s="88" t="s">
        <v>333</v>
      </c>
      <c r="Q430" s="91">
        <f t="shared" si="59"/>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0"/>
        <v>modesg_out_emss_vclsorigem_scp2_emss</v>
      </c>
      <c r="B431" s="68" t="s">
        <v>26</v>
      </c>
      <c r="C431" s="69" t="s">
        <v>311</v>
      </c>
      <c r="D431" s="65" t="s">
        <v>40</v>
      </c>
      <c r="E431" s="67" t="s">
        <v>332</v>
      </c>
      <c r="F431" s="65" t="s">
        <v>321</v>
      </c>
      <c r="G431" s="65" t="str">
        <f>INDEX(Auxiliar!$B$16:$B$24,MATCH(Plano_V3!H431,Auxiliar!$C$16:$C$24,0),1)</f>
        <v>1. Concluído</v>
      </c>
      <c r="H431" s="65">
        <f>VLOOKUP(A431,'Aux - pivots1'!$A:$B,2,0)</f>
        <v>1</v>
      </c>
      <c r="I431" s="189">
        <f>SUMIFS(Table1[Estimação (horas)],Table1[Tabela],Plano_V3!E431,Table1[Campo],Plano_V3!F431)</f>
        <v>8.1</v>
      </c>
      <c r="J431" s="189">
        <f t="shared" si="55"/>
        <v>1.0125</v>
      </c>
      <c r="K431" s="189">
        <f>SUMIFS(Table1[Horas efetivas],Table1[Tabela],Plano_V3!E431,Table1[Campo],Plano_V3!F431)</f>
        <v>8.1</v>
      </c>
      <c r="L431" s="189">
        <f t="shared" si="56"/>
        <v>1.0125</v>
      </c>
      <c r="M431" s="183"/>
      <c r="N431" s="183">
        <f t="shared" si="57"/>
        <v>1</v>
      </c>
      <c r="O431" s="183">
        <f t="shared" si="58"/>
        <v>1</v>
      </c>
      <c r="P431" s="88" t="s">
        <v>333</v>
      </c>
      <c r="Q431" s="91">
        <f t="shared" si="59"/>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0"/>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89">
        <f>SUMIFS(Table1[Estimação (horas)],Table1[Tabela],Plano_V3!E432,Table1[Campo],Plano_V3!F432)</f>
        <v>8.1</v>
      </c>
      <c r="J432" s="189">
        <f t="shared" si="55"/>
        <v>1.0125</v>
      </c>
      <c r="K432" s="189">
        <f>SUMIFS(Table1[Horas efetivas],Table1[Tabela],Plano_V3!E432,Table1[Campo],Plano_V3!F432)</f>
        <v>8.1</v>
      </c>
      <c r="L432" s="189">
        <f t="shared" si="56"/>
        <v>1.0125</v>
      </c>
      <c r="M432" s="183"/>
      <c r="N432" s="183">
        <f t="shared" si="57"/>
        <v>1</v>
      </c>
      <c r="O432" s="183">
        <f t="shared" si="58"/>
        <v>1</v>
      </c>
      <c r="P432" s="88" t="s">
        <v>333</v>
      </c>
      <c r="Q432" s="91">
        <f t="shared" si="59"/>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0"/>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89">
        <f>SUMIFS(Table1[Estimação (horas)],Table1[Tabela],Plano_V3!E433,Table1[Campo],Plano_V3!F433)</f>
        <v>4.0999999999999996</v>
      </c>
      <c r="J433" s="189">
        <f t="shared" si="55"/>
        <v>0.51249999999999996</v>
      </c>
      <c r="K433" s="189">
        <f>SUMIFS(Table1[Horas efetivas],Table1[Tabela],Plano_V3!E433,Table1[Campo],Plano_V3!F433)</f>
        <v>4.0999999999999996</v>
      </c>
      <c r="L433" s="189">
        <f t="shared" si="56"/>
        <v>0.51249999999999996</v>
      </c>
      <c r="M433" s="183"/>
      <c r="N433" s="183">
        <f t="shared" si="57"/>
        <v>1</v>
      </c>
      <c r="O433" s="183">
        <f t="shared" si="58"/>
        <v>1</v>
      </c>
      <c r="P433" s="88" t="s">
        <v>333</v>
      </c>
      <c r="Q433" s="91">
        <f t="shared" si="59"/>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0"/>
        <v>modesg_out_emss_vclsscp1_emss</v>
      </c>
      <c r="B434" s="68" t="s">
        <v>26</v>
      </c>
      <c r="C434" s="69" t="s">
        <v>311</v>
      </c>
      <c r="D434" s="65" t="s">
        <v>40</v>
      </c>
      <c r="E434" s="67" t="s">
        <v>332</v>
      </c>
      <c r="F434" s="65" t="s">
        <v>286</v>
      </c>
      <c r="G434" s="65" t="str">
        <f>INDEX(Auxiliar!$B$16:$B$24,MATCH(Plano_V3!H434,Auxiliar!$C$16:$C$24,0),1)</f>
        <v>1. Concluído</v>
      </c>
      <c r="H434" s="65">
        <f>VLOOKUP(A434,'Aux - pivots1'!$A:$B,2,0)</f>
        <v>1</v>
      </c>
      <c r="I434" s="189">
        <f>SUMIFS(Table1[Estimação (horas)],Table1[Tabela],Plano_V3!E434,Table1[Campo],Plano_V3!F434)</f>
        <v>16.100000000000001</v>
      </c>
      <c r="J434" s="189">
        <f t="shared" si="55"/>
        <v>2.0125000000000002</v>
      </c>
      <c r="K434" s="189">
        <f>SUMIFS(Table1[Horas efetivas],Table1[Tabela],Plano_V3!E434,Table1[Campo],Plano_V3!F434)</f>
        <v>16.100000000000001</v>
      </c>
      <c r="L434" s="189">
        <f t="shared" si="56"/>
        <v>2.0125000000000002</v>
      </c>
      <c r="M434" s="183"/>
      <c r="N434" s="183">
        <f t="shared" si="57"/>
        <v>1</v>
      </c>
      <c r="O434" s="183">
        <f t="shared" si="58"/>
        <v>1</v>
      </c>
      <c r="P434" s="88" t="s">
        <v>333</v>
      </c>
      <c r="Q434" s="91">
        <f t="shared" si="59"/>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0"/>
        <v>modesg_out_emss_vclsscp2_emss</v>
      </c>
      <c r="B435" s="68" t="s">
        <v>26</v>
      </c>
      <c r="C435" s="69" t="s">
        <v>311</v>
      </c>
      <c r="D435" s="65" t="s">
        <v>40</v>
      </c>
      <c r="E435" s="67" t="s">
        <v>332</v>
      </c>
      <c r="F435" s="65" t="s">
        <v>287</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55"/>
        <v>2.0125000000000002</v>
      </c>
      <c r="K435" s="189">
        <f>SUMIFS(Table1[Horas efetivas],Table1[Tabela],Plano_V3!E435,Table1[Campo],Plano_V3!F435)</f>
        <v>16.100000000000001</v>
      </c>
      <c r="L435" s="189">
        <f t="shared" si="56"/>
        <v>2.0125000000000002</v>
      </c>
      <c r="M435" s="183"/>
      <c r="N435" s="183">
        <f t="shared" si="57"/>
        <v>1</v>
      </c>
      <c r="O435" s="183">
        <f t="shared" si="58"/>
        <v>1</v>
      </c>
      <c r="P435" s="88" t="s">
        <v>333</v>
      </c>
      <c r="Q435" s="91">
        <f t="shared" si="59"/>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0"/>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89">
        <f>SUMIFS(Table1[Estimação (horas)],Table1[Tabela],Plano_V3!E436,Table1[Campo],Plano_V3!F436)</f>
        <v>16.100000000000001</v>
      </c>
      <c r="J436" s="189">
        <f t="shared" ref="J436:J454" si="61">I436/8</f>
        <v>2.0125000000000002</v>
      </c>
      <c r="K436" s="189">
        <f>SUMIFS(Table1[Horas efetivas],Table1[Tabela],Plano_V3!E436,Table1[Campo],Plano_V3!F436)</f>
        <v>16.100000000000001</v>
      </c>
      <c r="L436" s="189">
        <f t="shared" ref="L436:L454" si="62">K436/8</f>
        <v>2.0125000000000002</v>
      </c>
      <c r="M436" s="183"/>
      <c r="N436" s="183">
        <f t="shared" ref="N436:N455" si="63">L436/J436</f>
        <v>1</v>
      </c>
      <c r="O436" s="183">
        <f t="shared" si="58"/>
        <v>1</v>
      </c>
      <c r="P436" s="88" t="s">
        <v>333</v>
      </c>
      <c r="Q436" s="91">
        <f t="shared" si="59"/>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0"/>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89">
        <f>SUMIFS(Table1[Estimação (horas)],Table1[Tabela],Plano_V3!E437,Table1[Campo],Plano_V3!F437)</f>
        <v>4.0999999999999996</v>
      </c>
      <c r="J437" s="189">
        <f t="shared" si="61"/>
        <v>0.51249999999999996</v>
      </c>
      <c r="K437" s="189">
        <f>SUMIFS(Table1[Horas efetivas],Table1[Tabela],Plano_V3!E437,Table1[Campo],Plano_V3!F437)</f>
        <v>4.0999999999999996</v>
      </c>
      <c r="L437" s="189">
        <f t="shared" si="62"/>
        <v>0.51249999999999996</v>
      </c>
      <c r="M437" s="183"/>
      <c r="N437" s="183">
        <f t="shared" si="63"/>
        <v>1</v>
      </c>
      <c r="O437" s="183">
        <f t="shared" si="58"/>
        <v>1</v>
      </c>
      <c r="P437" s="88" t="s">
        <v>333</v>
      </c>
      <c r="Q437" s="91">
        <f t="shared" si="59"/>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0"/>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61"/>
        <v>0.51249999999999996</v>
      </c>
      <c r="K438" s="189">
        <f>SUMIFS(Table1[Horas efetivas],Table1[Tabela],Plano_V3!E438,Table1[Campo],Plano_V3!F438)</f>
        <v>4.0999999999999996</v>
      </c>
      <c r="L438" s="189">
        <f t="shared" si="62"/>
        <v>0.51249999999999996</v>
      </c>
      <c r="M438" s="183"/>
      <c r="N438" s="183">
        <f t="shared" si="63"/>
        <v>1</v>
      </c>
      <c r="O438" s="183">
        <f t="shared" si="58"/>
        <v>1</v>
      </c>
      <c r="P438" s="88" t="s">
        <v>333</v>
      </c>
      <c r="Q438" s="91">
        <f t="shared" si="59"/>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0"/>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61"/>
        <v>0.51249999999999996</v>
      </c>
      <c r="K439" s="189">
        <f>SUMIFS(Table1[Horas efetivas],Table1[Tabela],Plano_V3!E439,Table1[Campo],Plano_V3!F439)</f>
        <v>4.0999999999999996</v>
      </c>
      <c r="L439" s="189">
        <f t="shared" si="62"/>
        <v>0.51249999999999996</v>
      </c>
      <c r="M439" s="183"/>
      <c r="N439" s="183">
        <f t="shared" si="63"/>
        <v>1</v>
      </c>
      <c r="O439" s="183">
        <f t="shared" si="58"/>
        <v>1</v>
      </c>
      <c r="P439" s="88" t="s">
        <v>333</v>
      </c>
      <c r="Q439" s="91">
        <f t="shared" si="59"/>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0"/>
        <v>modesg_out_sfcs_taxon_europeian.a.</v>
      </c>
      <c r="B440" s="68" t="s">
        <v>26</v>
      </c>
      <c r="C440" s="69" t="s">
        <v>311</v>
      </c>
      <c r="D440" s="65" t="s">
        <v>36</v>
      </c>
      <c r="E440" s="67" t="s">
        <v>334</v>
      </c>
      <c r="F440" s="65" t="s">
        <v>38</v>
      </c>
      <c r="G440" s="65" t="str">
        <f>INDEX(Auxiliar!$B$16:$B$24,MATCH(Plano_V3!H440,Auxiliar!$C$16:$C$24,0),1)</f>
        <v>2.2 Em Re-especificação</v>
      </c>
      <c r="H440" s="65">
        <f>VLOOKUP(A440,'Aux - pivots1'!$A:$B,2,0)</f>
        <v>3</v>
      </c>
      <c r="I440" s="189">
        <f>SUMIFS(Table1[Estimação (horas)],Table1[Tabela],Plano_V3!E440,Table1[Campo],Plano_V3!F440)</f>
        <v>8</v>
      </c>
      <c r="J440" s="189">
        <f t="shared" si="61"/>
        <v>1</v>
      </c>
      <c r="K440" s="189">
        <f>SUMIFS(Table1[Horas efetivas],Table1[Tabela],Plano_V3!E440,Table1[Campo],Plano_V3!F440)</f>
        <v>4</v>
      </c>
      <c r="L440" s="189">
        <f t="shared" si="62"/>
        <v>0.5</v>
      </c>
      <c r="M440" s="183"/>
      <c r="N440" s="183">
        <f t="shared" si="63"/>
        <v>0.5</v>
      </c>
      <c r="O440" s="183">
        <f t="shared" si="58"/>
        <v>0.5</v>
      </c>
      <c r="P440" s="88" t="s">
        <v>335</v>
      </c>
      <c r="Q440" s="91">
        <f t="shared" si="59"/>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0"/>
        <v>modesg_out_sfcs_taxon_europeiacbalcao</v>
      </c>
      <c r="B441" s="68" t="s">
        <v>26</v>
      </c>
      <c r="C441" s="69" t="s">
        <v>311</v>
      </c>
      <c r="D441" s="65" t="s">
        <v>40</v>
      </c>
      <c r="E441" s="67" t="s">
        <v>334</v>
      </c>
      <c r="F441" s="65" t="s">
        <v>183</v>
      </c>
      <c r="G441" s="65" t="str">
        <f>INDEX(Auxiliar!$B$16:$B$24,MATCH(Plano_V3!H441,Auxiliar!$C$16:$C$24,0),1)</f>
        <v>2.2 Em Re-especificação</v>
      </c>
      <c r="H441" s="65">
        <f>VLOOKUP(A441,'Aux - pivots1'!$A:$B,2,0)</f>
        <v>3</v>
      </c>
      <c r="I441" s="189">
        <f>SUMIFS(Table1[Estimação (horas)],Table1[Tabela],Plano_V3!E441,Table1[Campo],Plano_V3!F441)</f>
        <v>4.0999999999999996</v>
      </c>
      <c r="J441" s="189">
        <f t="shared" si="61"/>
        <v>0.51249999999999996</v>
      </c>
      <c r="K441" s="189">
        <f>SUMIFS(Table1[Horas efetivas],Table1[Tabela],Plano_V3!E441,Table1[Campo],Plano_V3!F441)</f>
        <v>2.0499999999999998</v>
      </c>
      <c r="L441" s="189">
        <f t="shared" si="62"/>
        <v>0.25624999999999998</v>
      </c>
      <c r="M441" s="183"/>
      <c r="N441" s="183">
        <f t="shared" si="63"/>
        <v>0.5</v>
      </c>
      <c r="O441" s="183">
        <f t="shared" si="58"/>
        <v>0.5</v>
      </c>
      <c r="P441" s="88" t="s">
        <v>335</v>
      </c>
      <c r="Q441" s="91">
        <f t="shared" si="59"/>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0"/>
        <v>modesg_out_sfcs_taxon_europeiacempresa</v>
      </c>
      <c r="B442" s="68" t="s">
        <v>26</v>
      </c>
      <c r="C442" s="69" t="s">
        <v>311</v>
      </c>
      <c r="D442" s="65" t="s">
        <v>40</v>
      </c>
      <c r="E442" s="67" t="s">
        <v>334</v>
      </c>
      <c r="F442" s="65" t="s">
        <v>184</v>
      </c>
      <c r="G442" s="65" t="str">
        <f>INDEX(Auxiliar!$B$16:$B$24,MATCH(Plano_V3!H442,Auxiliar!$C$16:$C$24,0),1)</f>
        <v>2.2 Em Re-especificação</v>
      </c>
      <c r="H442" s="65">
        <f>VLOOKUP(A442,'Aux - pivots1'!$A:$B,2,0)</f>
        <v>3</v>
      </c>
      <c r="I442" s="189">
        <f>SUMIFS(Table1[Estimação (horas)],Table1[Tabela],Plano_V3!E442,Table1[Campo],Plano_V3!F442)</f>
        <v>4.0999999999999996</v>
      </c>
      <c r="J442" s="189">
        <f t="shared" si="61"/>
        <v>0.51249999999999996</v>
      </c>
      <c r="K442" s="189">
        <f>SUMIFS(Table1[Horas efetivas],Table1[Tabela],Plano_V3!E442,Table1[Campo],Plano_V3!F442)</f>
        <v>2.0499999999999998</v>
      </c>
      <c r="L442" s="189">
        <f t="shared" si="62"/>
        <v>0.25624999999999998</v>
      </c>
      <c r="M442" s="183"/>
      <c r="N442" s="183">
        <f t="shared" si="63"/>
        <v>0.5</v>
      </c>
      <c r="O442" s="183">
        <f t="shared" si="58"/>
        <v>0.5</v>
      </c>
      <c r="P442" s="88" t="s">
        <v>335</v>
      </c>
      <c r="Q442" s="91">
        <f t="shared" si="59"/>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0"/>
        <v>modesg_out_sfcs_taxon_europeiacnumecta</v>
      </c>
      <c r="B443" s="68" t="s">
        <v>26</v>
      </c>
      <c r="C443" s="69" t="s">
        <v>311</v>
      </c>
      <c r="D443" s="65" t="s">
        <v>40</v>
      </c>
      <c r="E443" s="67" t="s">
        <v>334</v>
      </c>
      <c r="F443" s="65" t="s">
        <v>189</v>
      </c>
      <c r="G443" s="65" t="str">
        <f>INDEX(Auxiliar!$B$16:$B$24,MATCH(Plano_V3!H443,Auxiliar!$C$16:$C$24,0),1)</f>
        <v>2.2 Em Re-especificação</v>
      </c>
      <c r="H443" s="65">
        <f>VLOOKUP(A443,'Aux - pivots1'!$A:$B,2,0)</f>
        <v>3</v>
      </c>
      <c r="I443" s="189">
        <f>SUMIFS(Table1[Estimação (horas)],Table1[Tabela],Plano_V3!E443,Table1[Campo],Plano_V3!F443)</f>
        <v>4.0999999999999996</v>
      </c>
      <c r="J443" s="189">
        <f t="shared" si="61"/>
        <v>0.51249999999999996</v>
      </c>
      <c r="K443" s="189">
        <f>SUMIFS(Table1[Horas efetivas],Table1[Tabela],Plano_V3!E443,Table1[Campo],Plano_V3!F443)</f>
        <v>2.0499999999999998</v>
      </c>
      <c r="L443" s="189">
        <f t="shared" si="62"/>
        <v>0.25624999999999998</v>
      </c>
      <c r="M443" s="183"/>
      <c r="N443" s="183">
        <f t="shared" si="63"/>
        <v>0.5</v>
      </c>
      <c r="O443" s="183">
        <f t="shared" si="58"/>
        <v>0.5</v>
      </c>
      <c r="P443" s="88" t="s">
        <v>335</v>
      </c>
      <c r="Q443" s="91">
        <f t="shared" si="59"/>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0"/>
        <v>modesg_out_sfcs_taxon_europeiacod_regra</v>
      </c>
      <c r="B444" s="68" t="s">
        <v>26</v>
      </c>
      <c r="C444" s="69" t="s">
        <v>311</v>
      </c>
      <c r="D444" s="65" t="s">
        <v>40</v>
      </c>
      <c r="E444" s="67" t="s">
        <v>334</v>
      </c>
      <c r="F444" s="65" t="s">
        <v>191</v>
      </c>
      <c r="G444" s="65" t="str">
        <f>INDEX(Auxiliar!$B$16:$B$24,MATCH(Plano_V3!H444,Auxiliar!$C$16:$C$24,0),1)</f>
        <v>2.2 Em Re-especificação</v>
      </c>
      <c r="H444" s="65">
        <f>VLOOKUP(A444,'Aux - pivots1'!$A:$B,2,0)</f>
        <v>3</v>
      </c>
      <c r="I444" s="189">
        <f>SUMIFS(Table1[Estimação (horas)],Table1[Tabela],Plano_V3!E444,Table1[Campo],Plano_V3!F444)</f>
        <v>4.0999999999999996</v>
      </c>
      <c r="J444" s="189">
        <f t="shared" si="61"/>
        <v>0.51249999999999996</v>
      </c>
      <c r="K444" s="189">
        <f>SUMIFS(Table1[Horas efetivas],Table1[Tabela],Plano_V3!E444,Table1[Campo],Plano_V3!F444)</f>
        <v>2.0499999999999998</v>
      </c>
      <c r="L444" s="189">
        <f t="shared" si="62"/>
        <v>0.25624999999999998</v>
      </c>
      <c r="M444" s="183"/>
      <c r="N444" s="183">
        <f t="shared" si="63"/>
        <v>0.5</v>
      </c>
      <c r="O444" s="183">
        <f t="shared" si="58"/>
        <v>0.5</v>
      </c>
      <c r="P444" s="88" t="s">
        <v>335</v>
      </c>
      <c r="Q444" s="91">
        <f t="shared" si="59"/>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0"/>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89">
        <f>SUMIFS(Table1[Estimação (horas)],Table1[Tabela],Plano_V3!E445,Table1[Campo],Plano_V3!F445)</f>
        <v>4.0999999999999996</v>
      </c>
      <c r="J445" s="189">
        <f t="shared" si="61"/>
        <v>0.51249999999999996</v>
      </c>
      <c r="K445" s="189">
        <f>SUMIFS(Table1[Horas efetivas],Table1[Tabela],Plano_V3!E445,Table1[Campo],Plano_V3!F445)</f>
        <v>0</v>
      </c>
      <c r="L445" s="189">
        <f t="shared" si="62"/>
        <v>0</v>
      </c>
      <c r="M445" s="183"/>
      <c r="N445" s="183">
        <f t="shared" si="63"/>
        <v>0</v>
      </c>
      <c r="O445" s="183">
        <f t="shared" si="58"/>
        <v>0</v>
      </c>
      <c r="P445" s="88" t="s">
        <v>335</v>
      </c>
      <c r="Q445" s="91">
        <f t="shared" si="59"/>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0"/>
        <v>modesg_out_sfcs_taxon_europeiamontante_pndrc</v>
      </c>
      <c r="B446" s="68" t="s">
        <v>26</v>
      </c>
      <c r="C446" s="69" t="s">
        <v>311</v>
      </c>
      <c r="D446" s="65" t="s">
        <v>40</v>
      </c>
      <c r="E446" s="67" t="s">
        <v>334</v>
      </c>
      <c r="F446" s="65" t="s">
        <v>202</v>
      </c>
      <c r="G446" s="65" t="str">
        <f>INDEX(Auxiliar!$B$16:$B$24,MATCH(Plano_V3!H446,Auxiliar!$C$16:$C$24,0),1)</f>
        <v>2.2 Em Re-especificação</v>
      </c>
      <c r="H446" s="65">
        <f>VLOOKUP(A446,'Aux - pivots1'!$A:$B,2,0)</f>
        <v>3</v>
      </c>
      <c r="I446" s="189">
        <f>SUMIFS(Table1[Estimação (horas)],Table1[Tabela],Plano_V3!E446,Table1[Campo],Plano_V3!F446)</f>
        <v>16.100000000000001</v>
      </c>
      <c r="J446" s="189">
        <f t="shared" si="61"/>
        <v>2.0125000000000002</v>
      </c>
      <c r="K446" s="189">
        <f>SUMIFS(Table1[Horas efetivas],Table1[Tabela],Plano_V3!E446,Table1[Campo],Plano_V3!F446)</f>
        <v>8.0500000000000007</v>
      </c>
      <c r="L446" s="189">
        <f t="shared" si="62"/>
        <v>1.0062500000000001</v>
      </c>
      <c r="M446" s="183"/>
      <c r="N446" s="183">
        <f t="shared" si="63"/>
        <v>0.5</v>
      </c>
      <c r="O446" s="183">
        <f t="shared" si="58"/>
        <v>0.5</v>
      </c>
      <c r="P446" s="88" t="s">
        <v>335</v>
      </c>
      <c r="Q446" s="91">
        <f t="shared" si="59"/>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0"/>
        <v>modesg_out_sfcs_taxon_europeianome_ctgr_sfcs</v>
      </c>
      <c r="B447" s="68" t="s">
        <v>26</v>
      </c>
      <c r="C447" s="69" t="s">
        <v>311</v>
      </c>
      <c r="D447" s="65" t="s">
        <v>40</v>
      </c>
      <c r="E447" s="67" t="s">
        <v>334</v>
      </c>
      <c r="F447" s="65" t="s">
        <v>203</v>
      </c>
      <c r="G447" s="65" t="str">
        <f>INDEX(Auxiliar!$B$16:$B$24,MATCH(Plano_V3!H447,Auxiliar!$C$16:$C$24,0),1)</f>
        <v>2.2 Em Re-especificação</v>
      </c>
      <c r="H447" s="65">
        <f>VLOOKUP(A447,'Aux - pivots1'!$A:$B,2,0)</f>
        <v>3</v>
      </c>
      <c r="I447" s="189">
        <f>SUMIFS(Table1[Estimação (horas)],Table1[Tabela],Plano_V3!E447,Table1[Campo],Plano_V3!F447)</f>
        <v>16.100000000000001</v>
      </c>
      <c r="J447" s="189">
        <f t="shared" si="61"/>
        <v>2.0125000000000002</v>
      </c>
      <c r="K447" s="189">
        <f>SUMIFS(Table1[Horas efetivas],Table1[Tabela],Plano_V3!E447,Table1[Campo],Plano_V3!F447)</f>
        <v>8.0500000000000007</v>
      </c>
      <c r="L447" s="189">
        <f t="shared" si="62"/>
        <v>1.0062500000000001</v>
      </c>
      <c r="M447" s="183"/>
      <c r="N447" s="183">
        <f t="shared" si="63"/>
        <v>0.5</v>
      </c>
      <c r="O447" s="183">
        <f t="shared" si="58"/>
        <v>0.5</v>
      </c>
      <c r="P447" s="88" t="s">
        <v>335</v>
      </c>
      <c r="Q447" s="91">
        <f t="shared" si="59"/>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0"/>
        <v>modesg_out_sfcs_taxon_europeianome_general_specific_purpose</v>
      </c>
      <c r="B448" s="68" t="s">
        <v>26</v>
      </c>
      <c r="C448" s="69" t="s">
        <v>311</v>
      </c>
      <c r="D448" s="65" t="s">
        <v>40</v>
      </c>
      <c r="E448" s="67" t="s">
        <v>334</v>
      </c>
      <c r="F448" s="65" t="s">
        <v>204</v>
      </c>
      <c r="G448" s="65" t="str">
        <f>INDEX(Auxiliar!$B$16:$B$24,MATCH(Plano_V3!H448,Auxiliar!$C$16:$C$24,0),1)</f>
        <v>2.2 Em Re-especificação</v>
      </c>
      <c r="H448" s="65">
        <f>VLOOKUP(A448,'Aux - pivots1'!$A:$B,2,0)</f>
        <v>3</v>
      </c>
      <c r="I448" s="189">
        <f>SUMIFS(Table1[Estimação (horas)],Table1[Tabela],Plano_V3!E448,Table1[Campo],Plano_V3!F448)</f>
        <v>8.1</v>
      </c>
      <c r="J448" s="189">
        <f t="shared" si="61"/>
        <v>1.0125</v>
      </c>
      <c r="K448" s="189">
        <f>SUMIFS(Table1[Horas efetivas],Table1[Tabela],Plano_V3!E448,Table1[Campo],Plano_V3!F448)</f>
        <v>4.05</v>
      </c>
      <c r="L448" s="189">
        <f t="shared" si="62"/>
        <v>0.50624999999999998</v>
      </c>
      <c r="M448" s="183"/>
      <c r="N448" s="183">
        <f t="shared" si="63"/>
        <v>0.5</v>
      </c>
      <c r="O448" s="183">
        <f t="shared" si="58"/>
        <v>0.5</v>
      </c>
      <c r="P448" s="88" t="s">
        <v>335</v>
      </c>
      <c r="Q448" s="91">
        <f t="shared" si="59"/>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0"/>
        <v>modesg_out_sfcs_taxon_europeianome_purpose_esg</v>
      </c>
      <c r="B449" s="68" t="s">
        <v>26</v>
      </c>
      <c r="C449" s="69" t="s">
        <v>311</v>
      </c>
      <c r="D449" s="65" t="s">
        <v>40</v>
      </c>
      <c r="E449" s="67" t="s">
        <v>334</v>
      </c>
      <c r="F449" s="65" t="s">
        <v>205</v>
      </c>
      <c r="G449" s="65" t="str">
        <f>INDEX(Auxiliar!$B$16:$B$24,MATCH(Plano_V3!H449,Auxiliar!$C$16:$C$24,0),1)</f>
        <v>2.2 Em Re-especificação</v>
      </c>
      <c r="H449" s="65">
        <f>VLOOKUP(A449,'Aux - pivots1'!$A:$B,2,0)</f>
        <v>3</v>
      </c>
      <c r="I449" s="189">
        <f>SUMIFS(Table1[Estimação (horas)],Table1[Tabela],Plano_V3!E449,Table1[Campo],Plano_V3!F449)</f>
        <v>8.1</v>
      </c>
      <c r="J449" s="189">
        <f t="shared" si="61"/>
        <v>1.0125</v>
      </c>
      <c r="K449" s="189">
        <f>SUMIFS(Table1[Horas efetivas],Table1[Tabela],Plano_V3!E449,Table1[Campo],Plano_V3!F449)</f>
        <v>4.05</v>
      </c>
      <c r="L449" s="189">
        <f t="shared" si="62"/>
        <v>0.50624999999999998</v>
      </c>
      <c r="M449" s="183"/>
      <c r="N449" s="183">
        <f t="shared" si="63"/>
        <v>0.5</v>
      </c>
      <c r="O449" s="183">
        <f t="shared" si="58"/>
        <v>0.5</v>
      </c>
      <c r="P449" s="88" t="s">
        <v>335</v>
      </c>
      <c r="Q449" s="91">
        <f t="shared" si="59"/>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0"/>
        <v>modesg_out_sfcs_taxon_europeianome_specific_eligible</v>
      </c>
      <c r="B450" s="68" t="s">
        <v>26</v>
      </c>
      <c r="C450" s="69" t="s">
        <v>311</v>
      </c>
      <c r="D450" s="65" t="s">
        <v>40</v>
      </c>
      <c r="E450" s="67" t="s">
        <v>334</v>
      </c>
      <c r="F450" s="65" t="s">
        <v>206</v>
      </c>
      <c r="G450" s="65" t="str">
        <f>INDEX(Auxiliar!$B$16:$B$24,MATCH(Plano_V3!H450,Auxiliar!$C$16:$C$24,0),1)</f>
        <v>2.2 Em Re-especificação</v>
      </c>
      <c r="H450" s="65">
        <f>VLOOKUP(A450,'Aux - pivots1'!$A:$B,2,0)</f>
        <v>3</v>
      </c>
      <c r="I450" s="189">
        <f>SUMIFS(Table1[Estimação (horas)],Table1[Tabela],Plano_V3!E450,Table1[Campo],Plano_V3!F450)</f>
        <v>8.1</v>
      </c>
      <c r="J450" s="189">
        <f t="shared" si="61"/>
        <v>1.0125</v>
      </c>
      <c r="K450" s="189">
        <f>SUMIFS(Table1[Horas efetivas],Table1[Tabela],Plano_V3!E450,Table1[Campo],Plano_V3!F450)</f>
        <v>4.05</v>
      </c>
      <c r="L450" s="189">
        <f t="shared" si="62"/>
        <v>0.50624999999999998</v>
      </c>
      <c r="M450" s="183"/>
      <c r="N450" s="183">
        <f t="shared" si="63"/>
        <v>0.5</v>
      </c>
      <c r="O450" s="183">
        <f t="shared" si="58"/>
        <v>0.5</v>
      </c>
      <c r="P450" s="88" t="s">
        <v>335</v>
      </c>
      <c r="Q450" s="91">
        <f t="shared" si="59"/>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0"/>
        <v>modesg_out_sfcs_taxon_europeianome_specific_sustainable</v>
      </c>
      <c r="B451" s="68" t="s">
        <v>26</v>
      </c>
      <c r="C451" s="69" t="s">
        <v>311</v>
      </c>
      <c r="D451" s="65" t="s">
        <v>40</v>
      </c>
      <c r="E451" s="67" t="s">
        <v>334</v>
      </c>
      <c r="F451" s="65" t="s">
        <v>207</v>
      </c>
      <c r="G451" s="65" t="str">
        <f>INDEX(Auxiliar!$B$16:$B$24,MATCH(Plano_V3!H451,Auxiliar!$C$16:$C$24,0),1)</f>
        <v>2.2 Em Re-especificação</v>
      </c>
      <c r="H451" s="65">
        <f>VLOOKUP(A451,'Aux - pivots1'!$A:$B,2,0)</f>
        <v>3</v>
      </c>
      <c r="I451" s="189">
        <f>SUMIFS(Table1[Estimação (horas)],Table1[Tabela],Plano_V3!E451,Table1[Campo],Plano_V3!F451)</f>
        <v>8.1</v>
      </c>
      <c r="J451" s="189">
        <f t="shared" si="61"/>
        <v>1.0125</v>
      </c>
      <c r="K451" s="189">
        <f>SUMIFS(Table1[Horas efetivas],Table1[Tabela],Plano_V3!E451,Table1[Campo],Plano_V3!F451)</f>
        <v>4.05</v>
      </c>
      <c r="L451" s="189">
        <f t="shared" si="62"/>
        <v>0.50624999999999998</v>
      </c>
      <c r="M451" s="183"/>
      <c r="N451" s="183">
        <f t="shared" si="63"/>
        <v>0.5</v>
      </c>
      <c r="O451" s="183">
        <f t="shared" si="58"/>
        <v>0.5</v>
      </c>
      <c r="P451" s="88" t="s">
        <v>335</v>
      </c>
      <c r="Q451" s="91">
        <f t="shared" si="59"/>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0"/>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89">
        <f>SUMIFS(Table1[Estimação (horas)],Table1[Tabela],Plano_V3!E452,Table1[Campo],Plano_V3!F452)</f>
        <v>4.0999999999999996</v>
      </c>
      <c r="J452" s="189">
        <f t="shared" si="61"/>
        <v>0.51249999999999996</v>
      </c>
      <c r="K452" s="189">
        <f>SUMIFS(Table1[Horas efetivas],Table1[Tabela],Plano_V3!E452,Table1[Campo],Plano_V3!F452)</f>
        <v>4.0999999999999996</v>
      </c>
      <c r="L452" s="189">
        <f t="shared" si="62"/>
        <v>0.51249999999999996</v>
      </c>
      <c r="M452" s="183"/>
      <c r="N452" s="183">
        <f t="shared" si="63"/>
        <v>1</v>
      </c>
      <c r="O452" s="183">
        <f t="shared" si="58"/>
        <v>1</v>
      </c>
      <c r="P452" s="88" t="s">
        <v>335</v>
      </c>
      <c r="Q452" s="91">
        <f t="shared" si="59"/>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0"/>
        <v>modesg_out_sfcs_taxon_europeiaref_date</v>
      </c>
      <c r="B453" s="68" t="s">
        <v>26</v>
      </c>
      <c r="C453" s="69" t="s">
        <v>311</v>
      </c>
      <c r="D453" s="65" t="s">
        <v>40</v>
      </c>
      <c r="E453" s="67" t="s">
        <v>334</v>
      </c>
      <c r="F453" s="65" t="s">
        <v>208</v>
      </c>
      <c r="G453" s="65" t="str">
        <f>INDEX(Auxiliar!$B$16:$B$24,MATCH(Plano_V3!H453,Auxiliar!$C$16:$C$24,0),1)</f>
        <v>2.2 Em Re-especificação</v>
      </c>
      <c r="H453" s="65">
        <f>VLOOKUP(A453,'Aux - pivots1'!$A:$B,2,0)</f>
        <v>3</v>
      </c>
      <c r="I453" s="189">
        <f>SUMIFS(Table1[Estimação (horas)],Table1[Tabela],Plano_V3!E453,Table1[Campo],Plano_V3!F453)</f>
        <v>4.0999999999999996</v>
      </c>
      <c r="J453" s="189">
        <f t="shared" si="61"/>
        <v>0.51249999999999996</v>
      </c>
      <c r="K453" s="189">
        <f>SUMIFS(Table1[Horas efetivas],Table1[Tabela],Plano_V3!E453,Table1[Campo],Plano_V3!F453)</f>
        <v>2.0499999999999998</v>
      </c>
      <c r="L453" s="189">
        <f t="shared" si="62"/>
        <v>0.25624999999999998</v>
      </c>
      <c r="M453" s="183"/>
      <c r="N453" s="183">
        <f t="shared" si="63"/>
        <v>0.5</v>
      </c>
      <c r="O453" s="183">
        <f t="shared" si="58"/>
        <v>0.5</v>
      </c>
      <c r="P453" s="88" t="s">
        <v>335</v>
      </c>
      <c r="Q453" s="91">
        <f t="shared" si="59"/>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0"/>
        <v>modesg_out_sfcs_taxon_europeiazdeposit</v>
      </c>
      <c r="B454" s="68" t="s">
        <v>26</v>
      </c>
      <c r="C454" s="69" t="s">
        <v>311</v>
      </c>
      <c r="D454" s="65" t="s">
        <v>40</v>
      </c>
      <c r="E454" s="67" t="s">
        <v>334</v>
      </c>
      <c r="F454" s="65" t="s">
        <v>210</v>
      </c>
      <c r="G454" s="65" t="str">
        <f>INDEX(Auxiliar!$B$16:$B$24,MATCH(Plano_V3!H454,Auxiliar!$C$16:$C$24,0),1)</f>
        <v>2.2 Em Re-especificação</v>
      </c>
      <c r="H454" s="65">
        <f>VLOOKUP(A454,'Aux - pivots1'!$A:$B,2,0)</f>
        <v>3</v>
      </c>
      <c r="I454" s="189">
        <f>SUMIFS(Table1[Estimação (horas)],Table1[Tabela],Plano_V3!E454,Table1[Campo],Plano_V3!F454)</f>
        <v>8.1</v>
      </c>
      <c r="J454" s="189">
        <f t="shared" si="61"/>
        <v>1.0125</v>
      </c>
      <c r="K454" s="189">
        <f>SUMIFS(Table1[Horas efetivas],Table1[Tabela],Plano_V3!E454,Table1[Campo],Plano_V3!F454)</f>
        <v>4.05</v>
      </c>
      <c r="L454" s="189">
        <f t="shared" si="62"/>
        <v>0.50624999999999998</v>
      </c>
      <c r="M454" s="183"/>
      <c r="N454" s="183">
        <f t="shared" si="63"/>
        <v>0.5</v>
      </c>
      <c r="O454" s="183">
        <f t="shared" si="58"/>
        <v>0.5</v>
      </c>
      <c r="P454" s="88" t="s">
        <v>335</v>
      </c>
      <c r="Q454" s="91">
        <f t="shared" si="59"/>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0"/>
        <v>Re-testesn.a.</v>
      </c>
      <c r="B455" s="68" t="s">
        <v>26</v>
      </c>
      <c r="C455" s="69" t="s">
        <v>311</v>
      </c>
      <c r="D455" s="65" t="s">
        <v>40</v>
      </c>
      <c r="E455" s="67" t="s">
        <v>53</v>
      </c>
      <c r="F455" s="65" t="s">
        <v>38</v>
      </c>
      <c r="G455" s="65" t="s">
        <v>180</v>
      </c>
      <c r="H455" s="65"/>
      <c r="I455" s="189">
        <f>SUM(I372:I454)*$D$7</f>
        <v>88.487500000000139</v>
      </c>
      <c r="J455" s="189">
        <f>I455/8</f>
        <v>11.060937500000017</v>
      </c>
      <c r="K455" s="189">
        <f>SUM(K372:K454)*$D$7</f>
        <v>73.418749999999989</v>
      </c>
      <c r="L455" s="189">
        <f>K455/8</f>
        <v>9.1773437499999986</v>
      </c>
      <c r="M455" s="183"/>
      <c r="N455" s="183">
        <f t="shared" si="63"/>
        <v>0.82970758581720438</v>
      </c>
      <c r="O455" s="183">
        <f t="shared" si="58"/>
        <v>0.82970758581720438</v>
      </c>
      <c r="P455" s="88"/>
      <c r="Q455" s="91">
        <f t="shared" si="59"/>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0"/>
        <v/>
      </c>
      <c r="B456" s="102" t="s">
        <v>26</v>
      </c>
      <c r="C456" s="103" t="s">
        <v>30</v>
      </c>
      <c r="D456" s="97"/>
      <c r="E456" s="104"/>
      <c r="F456" s="97"/>
      <c r="G456" s="97"/>
      <c r="H456" s="97"/>
      <c r="I456" s="188">
        <f>SUM(I457:I592)</f>
        <v>377.63750000000158</v>
      </c>
      <c r="J456" s="188">
        <f>ROUNDUP(I456/8,0)</f>
        <v>48</v>
      </c>
      <c r="K456" s="188">
        <f>SUM(K457:K592)</f>
        <v>339.2468750000013</v>
      </c>
      <c r="L456" s="188">
        <f>ROUNDUP(K456/8,0)</f>
        <v>43</v>
      </c>
      <c r="M456" s="187">
        <f>SUMIFS(R456:ES456,$R$9:$ES$9,"S")/J456</f>
        <v>6.25E-2</v>
      </c>
      <c r="N456" s="187">
        <f>IFERROR(L456/J456,0)</f>
        <v>0.89583333333333337</v>
      </c>
      <c r="O456" s="187">
        <f t="shared" si="58"/>
        <v>0.83333333333333337</v>
      </c>
      <c r="P456" s="195" t="s">
        <v>1931</v>
      </c>
      <c r="Q456" s="91">
        <f t="shared" si="59"/>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8"/>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0"/>
        <v>lt003_entitynace_esg</v>
      </c>
      <c r="B457" s="68" t="s">
        <v>26</v>
      </c>
      <c r="C457" s="69" t="s">
        <v>26</v>
      </c>
      <c r="D457" s="65" t="s">
        <v>40</v>
      </c>
      <c r="E457" s="71" t="s">
        <v>336</v>
      </c>
      <c r="F457" s="72" t="s">
        <v>337</v>
      </c>
      <c r="G457" s="65" t="str">
        <f>INDEX(Auxiliar!$B$16:$B$24,MATCH(Plano_V3!H457,Auxiliar!$C$16:$C$24,0),1)</f>
        <v>3. Pendente de outros desenvolvimentos</v>
      </c>
      <c r="H457" s="65">
        <f>VLOOKUP(A457,'Aux - pivots1'!$A:$B,2,0)</f>
        <v>4</v>
      </c>
      <c r="I457" s="181">
        <f>SUMIFS(Table1[Estimação (horas)],Table1[Tabela],Plano_V3!E457,Table1[Campo],Plano_V3!F457)</f>
        <v>4.0999999999999996</v>
      </c>
      <c r="J457" s="181">
        <f t="shared" ref="J457:J525" si="64">I457/8</f>
        <v>0.51249999999999996</v>
      </c>
      <c r="K457" s="181">
        <f>SUMIFS(Table1[Horas efetivas],Table1[Tabela],Plano_V3!E457,Table1[Campo],Plano_V3!F457)</f>
        <v>1.0249999999999999</v>
      </c>
      <c r="L457" s="181">
        <f t="shared" ref="L457:L525" si="65">K457/8</f>
        <v>0.12812499999999999</v>
      </c>
      <c r="M457" s="183"/>
      <c r="N457" s="183">
        <f t="shared" ref="N457:N525" si="66">L457/J457</f>
        <v>0.25</v>
      </c>
      <c r="O457" s="183"/>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0"/>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1">
        <f>SUMIFS(Table1[Estimação (horas)],Table1[Tabela],Plano_V3!E458,Table1[Campo],Plano_V3!F458)</f>
        <v>4.0999999999999996</v>
      </c>
      <c r="J458" s="181">
        <f t="shared" si="64"/>
        <v>0.51249999999999996</v>
      </c>
      <c r="K458" s="181">
        <f>SUMIFS(Table1[Horas efetivas],Table1[Tabela],Plano_V3!E458,Table1[Campo],Plano_V3!F458)</f>
        <v>4.0999999999999996</v>
      </c>
      <c r="L458" s="181">
        <f t="shared" si="65"/>
        <v>0.51249999999999996</v>
      </c>
      <c r="M458" s="183"/>
      <c r="N458" s="183">
        <f t="shared" si="66"/>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0"/>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64"/>
        <v>0.51249999999999996</v>
      </c>
      <c r="K459" s="181">
        <f>SUMIFS(Table1[Horas efetivas],Table1[Tabela],Plano_V3!E459,Table1[Campo],Plano_V3!F459)</f>
        <v>4.0999999999999996</v>
      </c>
      <c r="L459" s="181">
        <f t="shared" si="65"/>
        <v>0.51249999999999996</v>
      </c>
      <c r="M459" s="183"/>
      <c r="N459" s="183">
        <f t="shared" si="66"/>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0"/>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64"/>
        <v>0.51249999999999996</v>
      </c>
      <c r="K460" s="181">
        <f>SUMIFS(Table1[Horas efetivas],Table1[Tabela],Plano_V3!E460,Table1[Campo],Plano_V3!F460)</f>
        <v>4.0999999999999996</v>
      </c>
      <c r="L460" s="181">
        <f t="shared" si="65"/>
        <v>0.51249999999999996</v>
      </c>
      <c r="M460" s="183"/>
      <c r="N460" s="183">
        <f t="shared" si="66"/>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0"/>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64"/>
        <v>0.51249999999999996</v>
      </c>
      <c r="K461" s="181">
        <f>SUMIFS(Table1[Horas efetivas],Table1[Tabela],Plano_V3!E461,Table1[Campo],Plano_V3!F461)</f>
        <v>4.0999999999999996</v>
      </c>
      <c r="L461" s="181">
        <f t="shared" si="65"/>
        <v>0.51249999999999996</v>
      </c>
      <c r="M461" s="183"/>
      <c r="N461" s="183">
        <f t="shared" si="66"/>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0"/>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64"/>
        <v>0.51249999999999996</v>
      </c>
      <c r="K462" s="181">
        <f>SUMIFS(Table1[Horas efetivas],Table1[Tabela],Plano_V3!E462,Table1[Campo],Plano_V3!F462)</f>
        <v>4.0999999999999996</v>
      </c>
      <c r="L462" s="181">
        <f t="shared" si="65"/>
        <v>0.51249999999999996</v>
      </c>
      <c r="M462" s="183"/>
      <c r="N462" s="183">
        <f t="shared" si="66"/>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0"/>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64"/>
        <v>0.51249999999999996</v>
      </c>
      <c r="K463" s="181">
        <f>SUMIFS(Table1[Horas efetivas],Table1[Tabela],Plano_V3!E463,Table1[Campo],Plano_V3!F463)</f>
        <v>4.0999999999999996</v>
      </c>
      <c r="L463" s="181">
        <f t="shared" si="65"/>
        <v>0.51249999999999996</v>
      </c>
      <c r="M463" s="183"/>
      <c r="N463" s="183">
        <f t="shared" si="66"/>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0"/>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64"/>
        <v>0.51249999999999996</v>
      </c>
      <c r="K464" s="181">
        <f>SUMIFS(Table1[Horas efetivas],Table1[Tabela],Plano_V3!E464,Table1[Campo],Plano_V3!F464)</f>
        <v>4.0999999999999996</v>
      </c>
      <c r="L464" s="181">
        <f t="shared" si="65"/>
        <v>0.51249999999999996</v>
      </c>
      <c r="M464" s="183"/>
      <c r="N464" s="183">
        <f t="shared" si="66"/>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0"/>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64"/>
        <v>0.51249999999999996</v>
      </c>
      <c r="K465" s="181">
        <f>SUMIFS(Table1[Horas efetivas],Table1[Tabela],Plano_V3!E465,Table1[Campo],Plano_V3!F465)</f>
        <v>4.0999999999999996</v>
      </c>
      <c r="L465" s="181">
        <f t="shared" si="65"/>
        <v>0.51249999999999996</v>
      </c>
      <c r="M465" s="183"/>
      <c r="N465" s="183">
        <f t="shared" si="66"/>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0"/>
        <v>lt003_entitypure_capex_cca</v>
      </c>
      <c r="B466" s="68" t="s">
        <v>26</v>
      </c>
      <c r="C466" s="69" t="s">
        <v>26</v>
      </c>
      <c r="D466" s="65" t="s">
        <v>40</v>
      </c>
      <c r="E466" s="71" t="s">
        <v>336</v>
      </c>
      <c r="F466" s="72" t="s">
        <v>347</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64"/>
        <v>0.51249999999999996</v>
      </c>
      <c r="K466" s="181">
        <f>SUMIFS(Table1[Horas efetivas],Table1[Tabela],Plano_V3!E466,Table1[Campo],Plano_V3!F466)</f>
        <v>4.0999999999999996</v>
      </c>
      <c r="L466" s="181">
        <f t="shared" si="65"/>
        <v>0.51249999999999996</v>
      </c>
      <c r="M466" s="183"/>
      <c r="N466" s="183">
        <f t="shared" si="66"/>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0"/>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64"/>
        <v>0.51249999999999996</v>
      </c>
      <c r="K467" s="181">
        <f>SUMIFS(Table1[Horas efetivas],Table1[Tabela],Plano_V3!E467,Table1[Campo],Plano_V3!F467)</f>
        <v>4.0999999999999996</v>
      </c>
      <c r="L467" s="181">
        <f t="shared" si="65"/>
        <v>0.51249999999999996</v>
      </c>
      <c r="M467" s="183"/>
      <c r="N467" s="183">
        <f t="shared" si="66"/>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0"/>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64"/>
        <v>0.51249999999999996</v>
      </c>
      <c r="K468" s="181">
        <f>SUMIFS(Table1[Horas efetivas],Table1[Tabela],Plano_V3!E468,Table1[Campo],Plano_V3!F468)</f>
        <v>4.0999999999999996</v>
      </c>
      <c r="L468" s="181">
        <f t="shared" si="65"/>
        <v>0.51249999999999996</v>
      </c>
      <c r="M468" s="183"/>
      <c r="N468" s="183">
        <f t="shared" si="66"/>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0"/>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64"/>
        <v>0.51249999999999996</v>
      </c>
      <c r="K469" s="181">
        <f>SUMIFS(Table1[Horas efetivas],Table1[Tabela],Plano_V3!E469,Table1[Campo],Plano_V3!F469)</f>
        <v>4.0999999999999996</v>
      </c>
      <c r="L469" s="181">
        <f t="shared" si="65"/>
        <v>0.51249999999999996</v>
      </c>
      <c r="M469" s="183"/>
      <c r="N469" s="183">
        <f t="shared" si="66"/>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0"/>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64"/>
        <v>0.51249999999999996</v>
      </c>
      <c r="K470" s="181">
        <f>SUMIFS(Table1[Horas efetivas],Table1[Tabela],Plano_V3!E470,Table1[Campo],Plano_V3!F470)</f>
        <v>4.0999999999999996</v>
      </c>
      <c r="L470" s="181">
        <f t="shared" si="65"/>
        <v>0.51249999999999996</v>
      </c>
      <c r="M470" s="183"/>
      <c r="N470" s="183">
        <f t="shared" si="66"/>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0"/>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64"/>
        <v>0.51249999999999996</v>
      </c>
      <c r="K471" s="181">
        <f>SUMIFS(Table1[Horas efetivas],Table1[Tabela],Plano_V3!E471,Table1[Campo],Plano_V3!F471)</f>
        <v>4.0999999999999996</v>
      </c>
      <c r="L471" s="181">
        <f t="shared" si="65"/>
        <v>0.51249999999999996</v>
      </c>
      <c r="M471" s="183"/>
      <c r="N471" s="183">
        <f t="shared" si="66"/>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0"/>
        <v>lt003_entityflg_nfrd_applcblty</v>
      </c>
      <c r="B472" s="68" t="s">
        <v>26</v>
      </c>
      <c r="C472" s="69" t="s">
        <v>26</v>
      </c>
      <c r="D472" s="65" t="s">
        <v>40</v>
      </c>
      <c r="E472" s="71" t="s">
        <v>336</v>
      </c>
      <c r="F472" s="72" t="s">
        <v>353</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64"/>
        <v>0.51249999999999996</v>
      </c>
      <c r="K472" s="181">
        <f>SUMIFS(Table1[Horas efetivas],Table1[Tabela],Plano_V3!E472,Table1[Campo],Plano_V3!F472)</f>
        <v>4.0999999999999996</v>
      </c>
      <c r="L472" s="181">
        <f t="shared" si="65"/>
        <v>0.51249999999999996</v>
      </c>
      <c r="M472" s="183"/>
      <c r="N472" s="183">
        <f t="shared" si="66"/>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0"/>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1">
        <f>SUMIFS(Table1[Estimação (horas)],Table1[Tabela],Plano_V3!E473,Table1[Campo],Plano_V3!F473)</f>
        <v>4.0999999999999996</v>
      </c>
      <c r="J473" s="181">
        <f t="shared" si="64"/>
        <v>0.51249999999999996</v>
      </c>
      <c r="K473" s="181">
        <f>SUMIFS(Table1[Horas efetivas],Table1[Tabela],Plano_V3!E473,Table1[Campo],Plano_V3!F473)</f>
        <v>1.0249999999999999</v>
      </c>
      <c r="L473" s="181">
        <f t="shared" si="65"/>
        <v>0.12812499999999999</v>
      </c>
      <c r="M473" s="183"/>
      <c r="N473" s="183">
        <f t="shared" si="66"/>
        <v>0.25</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0"/>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1">
        <f>SUMIFS(Table1[Estimação (horas)],Table1[Tabela],Plano_V3!E474,Table1[Campo],Plano_V3!F474)</f>
        <v>4.0999999999999996</v>
      </c>
      <c r="J474" s="181">
        <f t="shared" si="64"/>
        <v>0.51249999999999996</v>
      </c>
      <c r="K474" s="181">
        <f>SUMIFS(Table1[Horas efetivas],Table1[Tabela],Plano_V3!E474,Table1[Campo],Plano_V3!F474)</f>
        <v>1.0249999999999999</v>
      </c>
      <c r="L474" s="181">
        <f t="shared" si="65"/>
        <v>0.12812499999999999</v>
      </c>
      <c r="M474" s="183"/>
      <c r="N474" s="183">
        <f t="shared" si="66"/>
        <v>0.25</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0"/>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1">
        <f>SUMIFS(Table1[Estimação (horas)],Table1[Tabela],Plano_V3!E475,Table1[Campo],Plano_V3!F475)</f>
        <v>4.0999999999999996</v>
      </c>
      <c r="J475" s="181">
        <f t="shared" si="64"/>
        <v>0.51249999999999996</v>
      </c>
      <c r="K475" s="181">
        <f>SUMIFS(Table1[Horas efetivas],Table1[Tabela],Plano_V3!E475,Table1[Campo],Plano_V3!F475)</f>
        <v>1.0249999999999999</v>
      </c>
      <c r="L475" s="181">
        <f t="shared" si="65"/>
        <v>0.12812499999999999</v>
      </c>
      <c r="M475" s="183"/>
      <c r="N475" s="183">
        <f t="shared" si="66"/>
        <v>0.25</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0"/>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64"/>
        <v>0.51249999999999996</v>
      </c>
      <c r="K476" s="181">
        <f>SUMIFS(Table1[Horas efetivas],Table1[Tabela],Plano_V3!E476,Table1[Campo],Plano_V3!F476)</f>
        <v>4.0999999999999996</v>
      </c>
      <c r="L476" s="181">
        <f t="shared" si="65"/>
        <v>0.51249999999999996</v>
      </c>
      <c r="M476" s="183"/>
      <c r="N476" s="183">
        <f t="shared" si="66"/>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0"/>
        <v>lt003_entityflg_act_physcl_rsk</v>
      </c>
      <c r="B477" s="68" t="s">
        <v>26</v>
      </c>
      <c r="C477" s="69" t="s">
        <v>26</v>
      </c>
      <c r="D477" s="65" t="s">
        <v>40</v>
      </c>
      <c r="E477" s="71" t="s">
        <v>336</v>
      </c>
      <c r="F477" s="72" t="s">
        <v>358</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64"/>
        <v>0.51249999999999996</v>
      </c>
      <c r="K477" s="181">
        <f>SUMIFS(Table1[Horas efetivas],Table1[Tabela],Plano_V3!E477,Table1[Campo],Plano_V3!F477)</f>
        <v>4.0999999999999996</v>
      </c>
      <c r="L477" s="181">
        <f t="shared" si="65"/>
        <v>0.51249999999999996</v>
      </c>
      <c r="M477" s="183"/>
      <c r="N477" s="183">
        <f t="shared" si="66"/>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0"/>
        <v>lt003_entityflg_chrnc_physcl_rsk</v>
      </c>
      <c r="B478" s="68" t="s">
        <v>26</v>
      </c>
      <c r="C478" s="69" t="s">
        <v>26</v>
      </c>
      <c r="D478" s="65" t="s">
        <v>40</v>
      </c>
      <c r="E478" s="71" t="s">
        <v>336</v>
      </c>
      <c r="F478" s="72" t="s">
        <v>359</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64"/>
        <v>0.51249999999999996</v>
      </c>
      <c r="K478" s="181">
        <f>SUMIFS(Table1[Horas efetivas],Table1[Tabela],Plano_V3!E478,Table1[Campo],Plano_V3!F478)</f>
        <v>4.0999999999999996</v>
      </c>
      <c r="L478" s="181">
        <f t="shared" si="65"/>
        <v>0.51249999999999996</v>
      </c>
      <c r="M478" s="183"/>
      <c r="N478" s="183">
        <f t="shared" si="66"/>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0"/>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64"/>
        <v>0.51249999999999996</v>
      </c>
      <c r="K479" s="181">
        <f>SUMIFS(Table1[Horas efetivas],Table1[Tabela],Plano_V3!E479,Table1[Campo],Plano_V3!F479)</f>
        <v>4.0999999999999996</v>
      </c>
      <c r="L479" s="181">
        <f t="shared" si="65"/>
        <v>0.51249999999999996</v>
      </c>
      <c r="M479" s="183"/>
      <c r="N479" s="183">
        <f t="shared" si="66"/>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0"/>
        <v>lt003_entityesg_sbsctr</v>
      </c>
      <c r="B480" s="68" t="s">
        <v>26</v>
      </c>
      <c r="C480" s="69" t="s">
        <v>26</v>
      </c>
      <c r="D480" s="65" t="s">
        <v>40</v>
      </c>
      <c r="E480" s="71" t="s">
        <v>336</v>
      </c>
      <c r="F480" s="72" t="s">
        <v>361</v>
      </c>
      <c r="G480" s="65" t="str">
        <f>INDEX(Auxiliar!$B$16:$B$24,MATCH(Plano_V3!H480,Auxiliar!$C$16:$C$24,0),1)</f>
        <v>1. Concluído</v>
      </c>
      <c r="H480" s="65">
        <f>VLOOKUP(A480,'Aux - pivots1'!$A:$B,2,0)</f>
        <v>1</v>
      </c>
      <c r="I480" s="181">
        <f>SUMIFS(Table1[Estimação (horas)],Table1[Tabela],Plano_V3!E480,Table1[Campo],Plano_V3!F480)</f>
        <v>4.0999999999999996</v>
      </c>
      <c r="J480" s="181">
        <f t="shared" si="64"/>
        <v>0.51249999999999996</v>
      </c>
      <c r="K480" s="181">
        <f>SUMIFS(Table1[Horas efetivas],Table1[Tabela],Plano_V3!E480,Table1[Campo],Plano_V3!F480)</f>
        <v>4.0999999999999996</v>
      </c>
      <c r="L480" s="181">
        <f t="shared" si="65"/>
        <v>0.51249999999999996</v>
      </c>
      <c r="M480" s="183"/>
      <c r="N480" s="183">
        <f t="shared" si="66"/>
        <v>1</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0"/>
        <v>lt003_entityttl_lblty</v>
      </c>
      <c r="B481" s="68" t="s">
        <v>26</v>
      </c>
      <c r="C481" s="69" t="s">
        <v>26</v>
      </c>
      <c r="D481" s="65" t="s">
        <v>40</v>
      </c>
      <c r="E481" s="71" t="s">
        <v>336</v>
      </c>
      <c r="F481" s="72" t="s">
        <v>362</v>
      </c>
      <c r="G481" s="65" t="str">
        <f>INDEX(Auxiliar!$B$16:$B$24,MATCH(Plano_V3!H481,Auxiliar!$C$16:$C$24,0),1)</f>
        <v>1. Concluído</v>
      </c>
      <c r="H481" s="65">
        <f>VLOOKUP(A481,'Aux - pivots1'!$A:$B,2,0)</f>
        <v>1</v>
      </c>
      <c r="I481" s="181">
        <f>SUMIFS(Table1[Estimação (horas)],Table1[Tabela],Plano_V3!E481,Table1[Campo],Plano_V3!F481)</f>
        <v>4.0999999999999996</v>
      </c>
      <c r="J481" s="181">
        <f t="shared" si="64"/>
        <v>0.51249999999999996</v>
      </c>
      <c r="K481" s="181">
        <f>SUMIFS(Table1[Horas efetivas],Table1[Tabela],Plano_V3!E481,Table1[Campo],Plano_V3!F481)</f>
        <v>4.0999999999999996</v>
      </c>
      <c r="L481" s="181">
        <f t="shared" si="65"/>
        <v>0.51249999999999996</v>
      </c>
      <c r="M481" s="183"/>
      <c r="N481" s="183">
        <f t="shared" si="66"/>
        <v>1</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0"/>
        <v>lt003_entityisin</v>
      </c>
      <c r="B482" s="68" t="s">
        <v>26</v>
      </c>
      <c r="C482" s="69" t="s">
        <v>26</v>
      </c>
      <c r="D482" s="65" t="s">
        <v>40</v>
      </c>
      <c r="E482" s="71" t="s">
        <v>336</v>
      </c>
      <c r="F482" s="72" t="s">
        <v>239</v>
      </c>
      <c r="G482" s="65" t="str">
        <f>INDEX(Auxiliar!$B$16:$B$24,MATCH(Plano_V3!H482,Auxiliar!$C$16:$C$24,0),1)</f>
        <v>1. Concluído</v>
      </c>
      <c r="H482" s="65">
        <f>VLOOKUP(A482,'Aux - pivots1'!$A:$B,2,0)</f>
        <v>1</v>
      </c>
      <c r="I482" s="181">
        <f>SUMIFS(Table1[Estimação (horas)],Table1[Tabela],Plano_V3!E482,Table1[Campo],Plano_V3!F482)</f>
        <v>4.0999999999999996</v>
      </c>
      <c r="J482" s="181">
        <f t="shared" si="64"/>
        <v>0.51249999999999996</v>
      </c>
      <c r="K482" s="181">
        <f>SUMIFS(Table1[Horas efetivas],Table1[Tabela],Plano_V3!E482,Table1[Campo],Plano_V3!F482)</f>
        <v>4.0999999999999996</v>
      </c>
      <c r="L482" s="181">
        <f t="shared" si="65"/>
        <v>0.51249999999999996</v>
      </c>
      <c r="M482" s="183"/>
      <c r="N482" s="183">
        <f t="shared" si="66"/>
        <v>1</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0"/>
        <v>lt003_entitygrp_annl_trnvr_le</v>
      </c>
      <c r="B483" s="68" t="s">
        <v>26</v>
      </c>
      <c r="C483" s="69" t="s">
        <v>26</v>
      </c>
      <c r="D483" s="65" t="s">
        <v>40</v>
      </c>
      <c r="E483" s="71" t="s">
        <v>336</v>
      </c>
      <c r="F483" s="72" t="s">
        <v>363</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64"/>
        <v>0.51249999999999996</v>
      </c>
      <c r="K483" s="181">
        <f>SUMIFS(Table1[Horas efetivas],Table1[Tabela],Plano_V3!E483,Table1[Campo],Plano_V3!F483)</f>
        <v>4.0999999999999996</v>
      </c>
      <c r="L483" s="181">
        <f t="shared" si="65"/>
        <v>0.51249999999999996</v>
      </c>
      <c r="M483" s="183"/>
      <c r="N483" s="183">
        <f t="shared" si="66"/>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0"/>
        <v>lt003_entitygrp_ttl_lblty</v>
      </c>
      <c r="B484" s="68" t="s">
        <v>26</v>
      </c>
      <c r="C484" s="69" t="s">
        <v>26</v>
      </c>
      <c r="D484" s="65" t="s">
        <v>40</v>
      </c>
      <c r="E484" s="71" t="s">
        <v>336</v>
      </c>
      <c r="F484" s="72" t="s">
        <v>364</v>
      </c>
      <c r="G484" s="65" t="str">
        <f>INDEX(Auxiliar!$B$16:$B$24,MATCH(Plano_V3!H484,Auxiliar!$C$16:$C$24,0),1)</f>
        <v>1. Concluído</v>
      </c>
      <c r="H484" s="65">
        <f>VLOOKUP(A484,'Aux - pivots1'!$A:$B,2,0)</f>
        <v>1</v>
      </c>
      <c r="I484" s="181">
        <f>SUMIFS(Table1[Estimação (horas)],Table1[Tabela],Plano_V3!E484,Table1[Campo],Plano_V3!F484)</f>
        <v>4.0999999999999996</v>
      </c>
      <c r="J484" s="181">
        <f t="shared" si="64"/>
        <v>0.51249999999999996</v>
      </c>
      <c r="K484" s="181">
        <f>SUMIFS(Table1[Horas efetivas],Table1[Tabela],Plano_V3!E484,Table1[Campo],Plano_V3!F484)</f>
        <v>4.0999999999999996</v>
      </c>
      <c r="L484" s="181">
        <f t="shared" si="65"/>
        <v>0.51249999999999996</v>
      </c>
      <c r="M484" s="183"/>
      <c r="N484" s="183">
        <f t="shared" si="66"/>
        <v>1</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0"/>
        <v>lt003_entityflg_grp_nfrd_applcblty</v>
      </c>
      <c r="B485" s="68" t="s">
        <v>26</v>
      </c>
      <c r="C485" s="69" t="s">
        <v>26</v>
      </c>
      <c r="D485" s="65" t="s">
        <v>40</v>
      </c>
      <c r="E485" s="71" t="s">
        <v>336</v>
      </c>
      <c r="F485" s="72" t="s">
        <v>365</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64"/>
        <v>0.51249999999999996</v>
      </c>
      <c r="K485" s="181">
        <f>SUMIFS(Table1[Horas efetivas],Table1[Tabela],Plano_V3!E485,Table1[Campo],Plano_V3!F485)</f>
        <v>4.0999999999999996</v>
      </c>
      <c r="L485" s="181">
        <f t="shared" si="65"/>
        <v>0.51249999999999996</v>
      </c>
      <c r="M485" s="183"/>
      <c r="N485" s="183">
        <f t="shared" si="66"/>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67">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1">
        <f>SUMIFS(Table1[Estimação (horas)],Table1[Tabela],Plano_V3!E486,Table1[Campo],Plano_V3!F486)</f>
        <v>4.0999999999999996</v>
      </c>
      <c r="J486" s="181">
        <f t="shared" si="64"/>
        <v>0.51249999999999996</v>
      </c>
      <c r="K486" s="181">
        <f>SUMIFS(Table1[Horas efetivas],Table1[Tabela],Plano_V3!E486,Table1[Campo],Plano_V3!F486)</f>
        <v>1.0249999999999999</v>
      </c>
      <c r="L486" s="181">
        <f t="shared" si="65"/>
        <v>0.12812499999999999</v>
      </c>
      <c r="M486" s="183"/>
      <c r="N486" s="183">
        <f t="shared" si="66"/>
        <v>0.25</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67"/>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1">
        <f>SUMIFS(Table1[Estimação (horas)],Table1[Tabela],Plano_V3!E487,Table1[Campo],Plano_V3!F487)</f>
        <v>4.0999999999999996</v>
      </c>
      <c r="J487" s="181">
        <f t="shared" si="64"/>
        <v>0.51249999999999996</v>
      </c>
      <c r="K487" s="181">
        <f>SUMIFS(Table1[Horas efetivas],Table1[Tabela],Plano_V3!E487,Table1[Campo],Plano_V3!F487)</f>
        <v>1.0249999999999999</v>
      </c>
      <c r="L487" s="181">
        <f t="shared" si="65"/>
        <v>0.12812499999999999</v>
      </c>
      <c r="M487" s="183"/>
      <c r="N487" s="183">
        <f t="shared" si="66"/>
        <v>0.25</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67"/>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1">
        <f>SUMIFS(Table1[Estimação (horas)],Table1[Tabela],Plano_V3!E488,Table1[Campo],Plano_V3!F488)</f>
        <v>4.0999999999999996</v>
      </c>
      <c r="J488" s="181">
        <f t="shared" si="64"/>
        <v>0.51249999999999996</v>
      </c>
      <c r="K488" s="181">
        <f>SUMIFS(Table1[Horas efetivas],Table1[Tabela],Plano_V3!E488,Table1[Campo],Plano_V3!F488)</f>
        <v>1.0249999999999999</v>
      </c>
      <c r="L488" s="181">
        <f t="shared" si="65"/>
        <v>0.12812499999999999</v>
      </c>
      <c r="M488" s="183"/>
      <c r="N488" s="183">
        <f t="shared" si="66"/>
        <v>0.25</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67"/>
        <v>lt004_protectiontyp_ep_scr</v>
      </c>
      <c r="B489" s="68" t="s">
        <v>26</v>
      </c>
      <c r="C489" s="69" t="s">
        <v>26</v>
      </c>
      <c r="D489" s="65" t="s">
        <v>40</v>
      </c>
      <c r="E489" s="71" t="s">
        <v>369</v>
      </c>
      <c r="F489" s="72" t="s">
        <v>370</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64"/>
        <v>0.51249999999999996</v>
      </c>
      <c r="K489" s="181">
        <f>SUMIFS(Table1[Horas efetivas],Table1[Tabela],Plano_V3!E489,Table1[Campo],Plano_V3!F489)</f>
        <v>4.0999999999999996</v>
      </c>
      <c r="L489" s="181">
        <f t="shared" si="65"/>
        <v>0.51249999999999996</v>
      </c>
      <c r="M489" s="183"/>
      <c r="N489" s="183">
        <f t="shared" si="66"/>
        <v>1</v>
      </c>
      <c r="O489" s="183"/>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67"/>
        <v>lt004_protectionep_scr</v>
      </c>
      <c r="B490" s="68" t="s">
        <v>26</v>
      </c>
      <c r="C490" s="69" t="s">
        <v>26</v>
      </c>
      <c r="D490" s="65" t="s">
        <v>40</v>
      </c>
      <c r="E490" s="71" t="s">
        <v>369</v>
      </c>
      <c r="F490" s="72" t="s">
        <v>371</v>
      </c>
      <c r="G490" s="65" t="str">
        <f>INDEX(Auxiliar!$B$16:$B$24,MATCH(Plano_V3!H490,Auxiliar!$C$16:$C$24,0),1)</f>
        <v>1. Concluído</v>
      </c>
      <c r="H490" s="65">
        <f>VLOOKUP(A490,'Aux - pivots1'!$A:$B,2,0)</f>
        <v>1</v>
      </c>
      <c r="I490" s="181">
        <f>SUMIFS(Table1[Estimação (horas)],Table1[Tabela],Plano_V3!E490,Table1[Campo],Plano_V3!F490)</f>
        <v>4.0999999999999996</v>
      </c>
      <c r="J490" s="181">
        <f t="shared" si="64"/>
        <v>0.51249999999999996</v>
      </c>
      <c r="K490" s="181">
        <f>SUMIFS(Table1[Horas efetivas],Table1[Tabela],Plano_V3!E490,Table1[Campo],Plano_V3!F490)</f>
        <v>4.0999999999999996</v>
      </c>
      <c r="L490" s="181">
        <f t="shared" si="65"/>
        <v>0.51249999999999996</v>
      </c>
      <c r="M490" s="183"/>
      <c r="N490" s="183">
        <f t="shared" si="66"/>
        <v>1</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67"/>
        <v>lt004_protectiontyp_epc_lbl</v>
      </c>
      <c r="B491" s="68" t="s">
        <v>26</v>
      </c>
      <c r="C491" s="69" t="s">
        <v>26</v>
      </c>
      <c r="D491" s="65" t="s">
        <v>40</v>
      </c>
      <c r="E491" s="71" t="s">
        <v>369</v>
      </c>
      <c r="F491" s="72" t="s">
        <v>372</v>
      </c>
      <c r="G491" s="65" t="str">
        <f>INDEX(Auxiliar!$B$16:$B$24,MATCH(Plano_V3!H491,Auxiliar!$C$16:$C$24,0),1)</f>
        <v>1. Concluído</v>
      </c>
      <c r="H491" s="65">
        <f>VLOOKUP(A491,'Aux - pivots1'!$A:$B,2,0)</f>
        <v>1</v>
      </c>
      <c r="I491" s="181">
        <f>SUMIFS(Table1[Estimação (horas)],Table1[Tabela],Plano_V3!E491,Table1[Campo],Plano_V3!F491)</f>
        <v>4.0999999999999996</v>
      </c>
      <c r="J491" s="181">
        <f t="shared" si="64"/>
        <v>0.51249999999999996</v>
      </c>
      <c r="K491" s="181">
        <f>SUMIFS(Table1[Horas efetivas],Table1[Tabela],Plano_V3!E491,Table1[Campo],Plano_V3!F491)</f>
        <v>4.0999999999999996</v>
      </c>
      <c r="L491" s="181">
        <f t="shared" si="65"/>
        <v>0.51249999999999996</v>
      </c>
      <c r="M491" s="183"/>
      <c r="N491" s="183">
        <f t="shared" si="66"/>
        <v>1</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67"/>
        <v>lt004_protectionepc_lbl</v>
      </c>
      <c r="B492" s="68" t="s">
        <v>26</v>
      </c>
      <c r="C492" s="69" t="s">
        <v>26</v>
      </c>
      <c r="D492" s="65" t="s">
        <v>40</v>
      </c>
      <c r="E492" s="71" t="s">
        <v>369</v>
      </c>
      <c r="F492" s="72" t="s">
        <v>373</v>
      </c>
      <c r="G492" s="65" t="str">
        <f>INDEX(Auxiliar!$B$16:$B$24,MATCH(Plano_V3!H492,Auxiliar!$C$16:$C$24,0),1)</f>
        <v>1. Concluído</v>
      </c>
      <c r="H492" s="65">
        <f>VLOOKUP(A492,'Aux - pivots1'!$A:$B,2,0)</f>
        <v>1</v>
      </c>
      <c r="I492" s="181">
        <f>SUMIFS(Table1[Estimação (horas)],Table1[Tabela],Plano_V3!E492,Table1[Campo],Plano_V3!F492)</f>
        <v>4.0999999999999996</v>
      </c>
      <c r="J492" s="181">
        <f t="shared" si="64"/>
        <v>0.51249999999999996</v>
      </c>
      <c r="K492" s="181">
        <f>SUMIFS(Table1[Horas efetivas],Table1[Tabela],Plano_V3!E492,Table1[Campo],Plano_V3!F492)</f>
        <v>4.0999999999999996</v>
      </c>
      <c r="L492" s="181">
        <f t="shared" si="65"/>
        <v>0.51249999999999996</v>
      </c>
      <c r="M492" s="183"/>
      <c r="N492" s="183">
        <f t="shared" si="66"/>
        <v>1</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67"/>
        <v>lt004_protectionemssns_scp1_prtctn</v>
      </c>
      <c r="B493" s="68" t="s">
        <v>26</v>
      </c>
      <c r="C493" s="69" t="s">
        <v>26</v>
      </c>
      <c r="D493" s="65" t="s">
        <v>40</v>
      </c>
      <c r="E493" s="71" t="s">
        <v>369</v>
      </c>
      <c r="F493" s="72" t="s">
        <v>374</v>
      </c>
      <c r="G493" s="65" t="str">
        <f>INDEX(Auxiliar!$B$16:$B$24,MATCH(Plano_V3!H493,Auxiliar!$C$16:$C$24,0),1)</f>
        <v>1. Concluído</v>
      </c>
      <c r="H493" s="65">
        <f>VLOOKUP(A493,'Aux - pivots1'!$A:$B,2,0)</f>
        <v>1</v>
      </c>
      <c r="I493" s="181">
        <f>SUMIFS(Table1[Estimação (horas)],Table1[Tabela],Plano_V3!E493,Table1[Campo],Plano_V3!F493)</f>
        <v>4.0999999999999996</v>
      </c>
      <c r="J493" s="181">
        <f t="shared" si="64"/>
        <v>0.51249999999999996</v>
      </c>
      <c r="K493" s="181">
        <f>SUMIFS(Table1[Horas efetivas],Table1[Tabela],Plano_V3!E493,Table1[Campo],Plano_V3!F493)</f>
        <v>4.0999999999999996</v>
      </c>
      <c r="L493" s="181">
        <f t="shared" si="65"/>
        <v>0.51249999999999996</v>
      </c>
      <c r="M493" s="183"/>
      <c r="N493" s="183">
        <f t="shared" si="66"/>
        <v>1</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67"/>
        <v>lt004_protectionemssns_scp2_prtctn</v>
      </c>
      <c r="B494" s="68" t="s">
        <v>26</v>
      </c>
      <c r="C494" s="69" t="s">
        <v>26</v>
      </c>
      <c r="D494" s="65" t="s">
        <v>40</v>
      </c>
      <c r="E494" s="71" t="s">
        <v>369</v>
      </c>
      <c r="F494" s="72" t="s">
        <v>375</v>
      </c>
      <c r="G494" s="65" t="str">
        <f>INDEX(Auxiliar!$B$16:$B$24,MATCH(Plano_V3!H494,Auxiliar!$C$16:$C$24,0),1)</f>
        <v>1. Concluído</v>
      </c>
      <c r="H494" s="65">
        <f>VLOOKUP(A494,'Aux - pivots1'!$A:$B,2,0)</f>
        <v>1</v>
      </c>
      <c r="I494" s="181">
        <f>SUMIFS(Table1[Estimação (horas)],Table1[Tabela],Plano_V3!E494,Table1[Campo],Plano_V3!F494)</f>
        <v>4.0999999999999996</v>
      </c>
      <c r="J494" s="181">
        <f t="shared" si="64"/>
        <v>0.51249999999999996</v>
      </c>
      <c r="K494" s="181">
        <f>SUMIFS(Table1[Horas efetivas],Table1[Tabela],Plano_V3!E494,Table1[Campo],Plano_V3!F494)</f>
        <v>4.0999999999999996</v>
      </c>
      <c r="L494" s="181">
        <f t="shared" si="65"/>
        <v>0.51249999999999996</v>
      </c>
      <c r="M494" s="183"/>
      <c r="N494" s="183">
        <f t="shared" si="66"/>
        <v>1</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67"/>
        <v>lt004_protectionemssns_scp3_prtctn</v>
      </c>
      <c r="B495" s="68" t="s">
        <v>26</v>
      </c>
      <c r="C495" s="69" t="s">
        <v>26</v>
      </c>
      <c r="D495" s="65" t="s">
        <v>40</v>
      </c>
      <c r="E495" s="71" t="s">
        <v>369</v>
      </c>
      <c r="F495" s="72" t="s">
        <v>376</v>
      </c>
      <c r="G495" s="65" t="str">
        <f>INDEX(Auxiliar!$B$16:$B$24,MATCH(Plano_V3!H495,Auxiliar!$C$16:$C$24,0),1)</f>
        <v>1. Concluído</v>
      </c>
      <c r="H495" s="65">
        <f>VLOOKUP(A495,'Aux - pivots1'!$A:$B,2,0)</f>
        <v>1</v>
      </c>
      <c r="I495" s="181">
        <f>SUMIFS(Table1[Estimação (horas)],Table1[Tabela],Plano_V3!E495,Table1[Campo],Plano_V3!F495)</f>
        <v>4.0999999999999996</v>
      </c>
      <c r="J495" s="181">
        <f t="shared" si="64"/>
        <v>0.51249999999999996</v>
      </c>
      <c r="K495" s="181">
        <f>SUMIFS(Table1[Horas efetivas],Table1[Tabela],Plano_V3!E495,Table1[Campo],Plano_V3!F495)</f>
        <v>4.0999999999999996</v>
      </c>
      <c r="L495" s="181">
        <f t="shared" si="65"/>
        <v>0.51249999999999996</v>
      </c>
      <c r="M495" s="183"/>
      <c r="N495" s="183">
        <f t="shared" si="66"/>
        <v>1</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67"/>
        <v>lt004_protectionmthd_usd_prtctn_scp_1</v>
      </c>
      <c r="B496" s="68" t="s">
        <v>26</v>
      </c>
      <c r="C496" s="69" t="s">
        <v>26</v>
      </c>
      <c r="D496" s="65" t="s">
        <v>40</v>
      </c>
      <c r="E496" s="71" t="s">
        <v>369</v>
      </c>
      <c r="F496" s="72" t="s">
        <v>377</v>
      </c>
      <c r="G496" s="65" t="str">
        <f>INDEX(Auxiliar!$B$16:$B$24,MATCH(Plano_V3!H496,Auxiliar!$C$16:$C$24,0),1)</f>
        <v>1. Concluído</v>
      </c>
      <c r="H496" s="65">
        <f>VLOOKUP(A496,'Aux - pivots1'!$A:$B,2,0)</f>
        <v>1</v>
      </c>
      <c r="I496" s="181">
        <f>SUMIFS(Table1[Estimação (horas)],Table1[Tabela],Plano_V3!E496,Table1[Campo],Plano_V3!F496)</f>
        <v>4.0999999999999996</v>
      </c>
      <c r="J496" s="181">
        <f t="shared" si="64"/>
        <v>0.51249999999999996</v>
      </c>
      <c r="K496" s="181">
        <f>SUMIFS(Table1[Horas efetivas],Table1[Tabela],Plano_V3!E496,Table1[Campo],Plano_V3!F496)</f>
        <v>4.0999999999999996</v>
      </c>
      <c r="L496" s="181">
        <f t="shared" si="65"/>
        <v>0.51249999999999996</v>
      </c>
      <c r="M496" s="183"/>
      <c r="N496" s="183">
        <f t="shared" si="66"/>
        <v>1</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67"/>
        <v>lt004_protectionmthd_usd_prtctn_scp_2</v>
      </c>
      <c r="B497" s="68" t="s">
        <v>26</v>
      </c>
      <c r="C497" s="69" t="s">
        <v>26</v>
      </c>
      <c r="D497" s="65" t="s">
        <v>40</v>
      </c>
      <c r="E497" s="71" t="s">
        <v>369</v>
      </c>
      <c r="F497" s="72" t="s">
        <v>378</v>
      </c>
      <c r="G497" s="65" t="str">
        <f>INDEX(Auxiliar!$B$16:$B$24,MATCH(Plano_V3!H497,Auxiliar!$C$16:$C$24,0),1)</f>
        <v>1. Concluído</v>
      </c>
      <c r="H497" s="65">
        <f>VLOOKUP(A497,'Aux - pivots1'!$A:$B,2,0)</f>
        <v>1</v>
      </c>
      <c r="I497" s="181">
        <f>SUMIFS(Table1[Estimação (horas)],Table1[Tabela],Plano_V3!E497,Table1[Campo],Plano_V3!F497)</f>
        <v>4.0999999999999996</v>
      </c>
      <c r="J497" s="181">
        <f t="shared" si="64"/>
        <v>0.51249999999999996</v>
      </c>
      <c r="K497" s="181">
        <f>SUMIFS(Table1[Horas efetivas],Table1[Tabela],Plano_V3!E497,Table1[Campo],Plano_V3!F497)</f>
        <v>4.0999999999999996</v>
      </c>
      <c r="L497" s="181">
        <f t="shared" si="65"/>
        <v>0.51249999999999996</v>
      </c>
      <c r="M497" s="183"/>
      <c r="N497" s="183">
        <f t="shared" si="66"/>
        <v>1</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67"/>
        <v>lt004_protectionmthd_usd_prtctn_scp_3</v>
      </c>
      <c r="B498" s="68" t="s">
        <v>26</v>
      </c>
      <c r="C498" s="69" t="s">
        <v>26</v>
      </c>
      <c r="D498" s="65" t="s">
        <v>40</v>
      </c>
      <c r="E498" s="71" t="s">
        <v>369</v>
      </c>
      <c r="F498" s="72" t="s">
        <v>379</v>
      </c>
      <c r="G498" s="65" t="str">
        <f>INDEX(Auxiliar!$B$16:$B$24,MATCH(Plano_V3!H498,Auxiliar!$C$16:$C$24,0),1)</f>
        <v>1. Concluído</v>
      </c>
      <c r="H498" s="65">
        <f>VLOOKUP(A498,'Aux - pivots1'!$A:$B,2,0)</f>
        <v>1</v>
      </c>
      <c r="I498" s="181">
        <f>SUMIFS(Table1[Estimação (horas)],Table1[Tabela],Plano_V3!E498,Table1[Campo],Plano_V3!F498)</f>
        <v>4.0999999999999996</v>
      </c>
      <c r="J498" s="181">
        <f t="shared" si="64"/>
        <v>0.51249999999999996</v>
      </c>
      <c r="K498" s="181">
        <f>SUMIFS(Table1[Horas efetivas],Table1[Tabela],Plano_V3!E498,Table1[Campo],Plano_V3!F498)</f>
        <v>4.0999999999999996</v>
      </c>
      <c r="L498" s="181">
        <f t="shared" si="65"/>
        <v>0.51249999999999996</v>
      </c>
      <c r="M498" s="183"/>
      <c r="N498" s="183">
        <f t="shared" si="66"/>
        <v>1</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67"/>
        <v>lt004_protectionflg_act_physcl_rsk</v>
      </c>
      <c r="B499" s="68" t="s">
        <v>26</v>
      </c>
      <c r="C499" s="69" t="s">
        <v>26</v>
      </c>
      <c r="D499" s="65" t="s">
        <v>40</v>
      </c>
      <c r="E499" s="71" t="s">
        <v>369</v>
      </c>
      <c r="F499" s="72" t="s">
        <v>358</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64"/>
        <v>0.51249999999999996</v>
      </c>
      <c r="K499" s="181">
        <f>SUMIFS(Table1[Horas efetivas],Table1[Tabela],Plano_V3!E499,Table1[Campo],Plano_V3!F499)</f>
        <v>4.0999999999999996</v>
      </c>
      <c r="L499" s="181">
        <f t="shared" si="65"/>
        <v>0.51249999999999996</v>
      </c>
      <c r="M499" s="183"/>
      <c r="N499" s="183">
        <f t="shared" si="66"/>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67"/>
        <v>lt004_protectionflg_chrnc_physcl_rsk</v>
      </c>
      <c r="B500" s="68" t="s">
        <v>26</v>
      </c>
      <c r="C500" s="69" t="s">
        <v>26</v>
      </c>
      <c r="D500" s="65" t="s">
        <v>40</v>
      </c>
      <c r="E500" s="71" t="s">
        <v>369</v>
      </c>
      <c r="F500" s="72" t="s">
        <v>359</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64"/>
        <v>0.51249999999999996</v>
      </c>
      <c r="K500" s="181">
        <f>SUMIFS(Table1[Horas efetivas],Table1[Tabela],Plano_V3!E500,Table1[Campo],Plano_V3!F500)</f>
        <v>4.0999999999999996</v>
      </c>
      <c r="L500" s="181">
        <f t="shared" si="65"/>
        <v>0.51249999999999996</v>
      </c>
      <c r="M500" s="183"/>
      <c r="N500" s="183">
        <f t="shared" si="66"/>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67"/>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64"/>
        <v>0.51249999999999996</v>
      </c>
      <c r="K501" s="181">
        <f>SUMIFS(Table1[Horas efetivas],Table1[Tabela],Plano_V3!E501,Table1[Campo],Plano_V3!F501)</f>
        <v>4.0999999999999996</v>
      </c>
      <c r="L501" s="181">
        <f t="shared" si="65"/>
        <v>0.51249999999999996</v>
      </c>
      <c r="M501" s="183"/>
      <c r="N501" s="183">
        <f t="shared" si="66"/>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67"/>
        <v>lt002_instrumentrsk_mtgtd_ccp</v>
      </c>
      <c r="B502" s="68" t="s">
        <v>26</v>
      </c>
      <c r="C502" s="69" t="s">
        <v>26</v>
      </c>
      <c r="D502" s="65" t="s">
        <v>40</v>
      </c>
      <c r="E502" s="71" t="s">
        <v>380</v>
      </c>
      <c r="F502" s="72" t="s">
        <v>382</v>
      </c>
      <c r="G502" s="65" t="str">
        <f>INDEX(Auxiliar!$B$16:$B$24,MATCH(Plano_V3!H502,Auxiliar!$C$16:$C$24,0),1)</f>
        <v>4. Validação EF</v>
      </c>
      <c r="H502" s="65">
        <f>VLOOKUP(A502,'Aux - pivots1'!$A:$B,2,0)</f>
        <v>5</v>
      </c>
      <c r="I502" s="181">
        <f>SUMIFS(Table1[Estimação (horas)],Table1[Tabela],Plano_V3!E502,Table1[Campo],Plano_V3!F502)</f>
        <v>4.0999999999999996</v>
      </c>
      <c r="J502" s="181">
        <f t="shared" si="64"/>
        <v>0.51249999999999996</v>
      </c>
      <c r="K502" s="181">
        <f>SUMIFS(Table1[Horas efetivas],Table1[Tabela],Plano_V3!E502,Table1[Campo],Plano_V3!F502)</f>
        <v>1.0249999999999999</v>
      </c>
      <c r="L502" s="181">
        <f t="shared" si="65"/>
        <v>0.12812499999999999</v>
      </c>
      <c r="M502" s="183"/>
      <c r="N502" s="183">
        <f t="shared" si="66"/>
        <v>0.25</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67"/>
        <v>lt007_instr_activityenvrnmntl_objctv</v>
      </c>
      <c r="B503" s="68" t="s">
        <v>26</v>
      </c>
      <c r="C503" s="69" t="s">
        <v>26</v>
      </c>
      <c r="D503" s="65" t="s">
        <v>40</v>
      </c>
      <c r="E503" s="71" t="s">
        <v>1948</v>
      </c>
      <c r="F503" s="72" t="s">
        <v>383</v>
      </c>
      <c r="G503" s="65" t="str">
        <f>INDEX(Auxiliar!$B$16:$B$24,MATCH(Plano_V3!H503,Auxiliar!$C$16:$C$24,0),1)</f>
        <v>1. Concluído</v>
      </c>
      <c r="H503" s="65">
        <f>VLOOKUP(A503,'Aux - pivots1'!$A:$B,2,0)</f>
        <v>1</v>
      </c>
      <c r="I503" s="181">
        <f>SUMIFS(Table1[Estimação (horas)],Table1[Tabela],Plano_V3!E503,Table1[Campo],Plano_V3!F503)</f>
        <v>4.0999999999999996</v>
      </c>
      <c r="J503" s="181">
        <f t="shared" si="64"/>
        <v>0.51249999999999996</v>
      </c>
      <c r="K503" s="181">
        <f>SUMIFS(Table1[Horas efetivas],Table1[Tabela],Plano_V3!E503,Table1[Campo],Plano_V3!F503)</f>
        <v>4.0999999999999996</v>
      </c>
      <c r="L503" s="181">
        <f t="shared" si="65"/>
        <v>0.51249999999999996</v>
      </c>
      <c r="M503" s="183"/>
      <c r="N503" s="183">
        <f t="shared" si="66"/>
        <v>1</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67"/>
        <v>lt007_instr_activitytyp_actvty</v>
      </c>
      <c r="B504" s="68" t="s">
        <v>26</v>
      </c>
      <c r="C504" s="69" t="s">
        <v>26</v>
      </c>
      <c r="D504" s="65" t="s">
        <v>40</v>
      </c>
      <c r="E504" s="71" t="s">
        <v>1948</v>
      </c>
      <c r="F504" s="72" t="s">
        <v>384</v>
      </c>
      <c r="G504" s="65" t="str">
        <f>INDEX(Auxiliar!$B$16:$B$24,MATCH(Plano_V3!H504,Auxiliar!$C$16:$C$24,0),1)</f>
        <v>1. Concluído</v>
      </c>
      <c r="H504" s="65">
        <f>VLOOKUP(A504,'Aux - pivots1'!$A:$B,2,0)</f>
        <v>1</v>
      </c>
      <c r="I504" s="181">
        <f>SUMIFS(Table1[Estimação (horas)],Table1[Tabela],Plano_V3!E504,Table1[Campo],Plano_V3!F504)</f>
        <v>4.0999999999999996</v>
      </c>
      <c r="J504" s="181">
        <f t="shared" si="64"/>
        <v>0.51249999999999996</v>
      </c>
      <c r="K504" s="181">
        <f>SUMIFS(Table1[Horas efetivas],Table1[Tabela],Plano_V3!E504,Table1[Campo],Plano_V3!F504)</f>
        <v>4.0999999999999996</v>
      </c>
      <c r="L504" s="181">
        <f t="shared" si="65"/>
        <v>0.51249999999999996</v>
      </c>
      <c r="M504" s="183"/>
      <c r="N504" s="183">
        <f t="shared" si="66"/>
        <v>1</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67"/>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64"/>
        <v>0.51249999999999996</v>
      </c>
      <c r="K505" s="181">
        <f>SUMIFS(Table1[Horas efetivas],Table1[Tabela],Plano_V3!E505,Table1[Campo],Plano_V3!F505)</f>
        <v>4.0999999999999996</v>
      </c>
      <c r="L505" s="181">
        <f t="shared" si="65"/>
        <v>0.51249999999999996</v>
      </c>
      <c r="M505" s="183"/>
      <c r="N505" s="183">
        <f t="shared" si="66"/>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67"/>
        <v>lt002_instrumentmthd_usd_instrmnt_scp_1</v>
      </c>
      <c r="B506" s="68" t="s">
        <v>26</v>
      </c>
      <c r="C506" s="69" t="s">
        <v>26</v>
      </c>
      <c r="D506" s="65" t="s">
        <v>40</v>
      </c>
      <c r="E506" s="71" t="s">
        <v>380</v>
      </c>
      <c r="F506" s="72" t="s">
        <v>386</v>
      </c>
      <c r="G506" s="65" t="str">
        <f>INDEX(Auxiliar!$B$16:$B$24,MATCH(Plano_V3!H506,Auxiliar!$C$16:$C$24,0),1)</f>
        <v>3. Pendente de outros desenvolvimentos</v>
      </c>
      <c r="H506" s="65">
        <f>VLOOKUP(A506,'Aux - pivots1'!$A:$B,2,0)</f>
        <v>4</v>
      </c>
      <c r="I506" s="181">
        <f>SUMIFS(Table1[Estimação (horas)],Table1[Tabela],Plano_V3!E506,Table1[Campo],Plano_V3!F506)</f>
        <v>4.0999999999999996</v>
      </c>
      <c r="J506" s="181">
        <f t="shared" si="64"/>
        <v>0.51249999999999996</v>
      </c>
      <c r="K506" s="181">
        <f>SUMIFS(Table1[Horas efetivas],Table1[Tabela],Plano_V3!E506,Table1[Campo],Plano_V3!F506)</f>
        <v>1.0249999999999999</v>
      </c>
      <c r="L506" s="181">
        <f t="shared" si="65"/>
        <v>0.12812499999999999</v>
      </c>
      <c r="M506" s="183"/>
      <c r="N506" s="183">
        <f t="shared" si="66"/>
        <v>0.25</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67"/>
        <v>lt002_instrumentmthd_usd_instrmnt_scp_2</v>
      </c>
      <c r="B507" s="68" t="s">
        <v>26</v>
      </c>
      <c r="C507" s="69" t="s">
        <v>26</v>
      </c>
      <c r="D507" s="65" t="s">
        <v>40</v>
      </c>
      <c r="E507" s="71" t="s">
        <v>380</v>
      </c>
      <c r="F507" s="72" t="s">
        <v>387</v>
      </c>
      <c r="G507" s="65" t="str">
        <f>INDEX(Auxiliar!$B$16:$B$24,MATCH(Plano_V3!H507,Auxiliar!$C$16:$C$24,0),1)</f>
        <v>3. Pendente de outros desenvolvimentos</v>
      </c>
      <c r="H507" s="65">
        <f>VLOOKUP(A507,'Aux - pivots1'!$A:$B,2,0)</f>
        <v>4</v>
      </c>
      <c r="I507" s="181">
        <f>SUMIFS(Table1[Estimação (horas)],Table1[Tabela],Plano_V3!E507,Table1[Campo],Plano_V3!F507)</f>
        <v>4.0999999999999996</v>
      </c>
      <c r="J507" s="181">
        <f t="shared" si="64"/>
        <v>0.51249999999999996</v>
      </c>
      <c r="K507" s="181">
        <f>SUMIFS(Table1[Horas efetivas],Table1[Tabela],Plano_V3!E507,Table1[Campo],Plano_V3!F507)</f>
        <v>1.0249999999999999</v>
      </c>
      <c r="L507" s="181">
        <f t="shared" si="65"/>
        <v>0.12812499999999999</v>
      </c>
      <c r="M507" s="183"/>
      <c r="N507" s="183">
        <f t="shared" si="66"/>
        <v>0.25</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67"/>
        <v>lt002_instrumentmthd_usd_instrmnt_scp_3</v>
      </c>
      <c r="B508" s="68" t="s">
        <v>26</v>
      </c>
      <c r="C508" s="69" t="s">
        <v>26</v>
      </c>
      <c r="D508" s="65" t="s">
        <v>40</v>
      </c>
      <c r="E508" s="71" t="s">
        <v>380</v>
      </c>
      <c r="F508" s="72" t="s">
        <v>388</v>
      </c>
      <c r="G508" s="65" t="str">
        <f>INDEX(Auxiliar!$B$16:$B$24,MATCH(Plano_V3!H508,Auxiliar!$C$16:$C$24,0),1)</f>
        <v>3. Pendente de outros desenvolvimentos</v>
      </c>
      <c r="H508" s="65">
        <f>VLOOKUP(A508,'Aux - pivots1'!$A:$B,2,0)</f>
        <v>4</v>
      </c>
      <c r="I508" s="181">
        <f>SUMIFS(Table1[Estimação (horas)],Table1[Tabela],Plano_V3!E508,Table1[Campo],Plano_V3!F508)</f>
        <v>4.0999999999999996</v>
      </c>
      <c r="J508" s="181">
        <f t="shared" si="64"/>
        <v>0.51249999999999996</v>
      </c>
      <c r="K508" s="181">
        <f>SUMIFS(Table1[Horas efetivas],Table1[Tabela],Plano_V3!E508,Table1[Campo],Plano_V3!F508)</f>
        <v>1.0249999999999999</v>
      </c>
      <c r="L508" s="181">
        <f t="shared" si="65"/>
        <v>0.12812499999999999</v>
      </c>
      <c r="M508" s="183"/>
      <c r="N508" s="183">
        <f t="shared" si="66"/>
        <v>0.25</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67"/>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1">
        <f>SUMIFS(Table1[Estimação (horas)],Table1[Tabela],Plano_V3!E509,Table1[Campo],Plano_V3!F509)</f>
        <v>4.0999999999999996</v>
      </c>
      <c r="J509" s="181">
        <f t="shared" si="64"/>
        <v>0.51249999999999996</v>
      </c>
      <c r="K509" s="181">
        <f>SUMIFS(Table1[Horas efetivas],Table1[Tabela],Plano_V3!E509,Table1[Campo],Plano_V3!F509)</f>
        <v>4.0999999999999996</v>
      </c>
      <c r="L509" s="181">
        <f t="shared" si="65"/>
        <v>0.51249999999999996</v>
      </c>
      <c r="M509" s="183"/>
      <c r="N509" s="183">
        <f t="shared" si="66"/>
        <v>1</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67"/>
        <v>lt827_mthd_usd_instrmntambito</v>
      </c>
      <c r="B510" s="68" t="s">
        <v>26</v>
      </c>
      <c r="C510" s="69" t="s">
        <v>26</v>
      </c>
      <c r="D510" s="65" t="s">
        <v>40</v>
      </c>
      <c r="E510" s="71" t="s">
        <v>1949</v>
      </c>
      <c r="F510" s="73" t="s">
        <v>391</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64"/>
        <v>0.51249999999999996</v>
      </c>
      <c r="K510" s="181">
        <f>SUMIFS(Table1[Horas efetivas],Table1[Tabela],Plano_V3!E510,Table1[Campo],Plano_V3!F510)</f>
        <v>4.0999999999999996</v>
      </c>
      <c r="L510" s="181">
        <f t="shared" si="65"/>
        <v>0.51249999999999996</v>
      </c>
      <c r="M510" s="183"/>
      <c r="N510" s="183">
        <f t="shared" si="66"/>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67"/>
        <v>lt827_mthd_usd_instrmntref_date</v>
      </c>
      <c r="B511" s="68" t="s">
        <v>26</v>
      </c>
      <c r="C511" s="69" t="s">
        <v>26</v>
      </c>
      <c r="D511" s="65" t="s">
        <v>40</v>
      </c>
      <c r="E511" s="71" t="s">
        <v>1949</v>
      </c>
      <c r="F511" s="73" t="s">
        <v>208</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64"/>
        <v>0.51249999999999996</v>
      </c>
      <c r="K511" s="181">
        <f>SUMIFS(Table1[Horas efetivas],Table1[Tabela],Plano_V3!E511,Table1[Campo],Plano_V3!F511)</f>
        <v>4.0999999999999996</v>
      </c>
      <c r="L511" s="181">
        <f t="shared" si="65"/>
        <v>0.51249999999999996</v>
      </c>
      <c r="M511" s="183"/>
      <c r="N511" s="183">
        <f t="shared" si="66"/>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67"/>
        <v>lt827_mthd_usd_instrmntordem</v>
      </c>
      <c r="B512" s="68" t="s">
        <v>26</v>
      </c>
      <c r="C512" s="69" t="s">
        <v>26</v>
      </c>
      <c r="D512" s="65" t="s">
        <v>40</v>
      </c>
      <c r="E512" s="71" t="s">
        <v>1949</v>
      </c>
      <c r="F512" s="73" t="s">
        <v>211</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64"/>
        <v>0.51249999999999996</v>
      </c>
      <c r="K512" s="181">
        <f>SUMIFS(Table1[Horas efetivas],Table1[Tabela],Plano_V3!E512,Table1[Campo],Plano_V3!F512)</f>
        <v>4.0999999999999996</v>
      </c>
      <c r="L512" s="181">
        <f t="shared" si="65"/>
        <v>0.51249999999999996</v>
      </c>
      <c r="M512" s="183"/>
      <c r="N512" s="183">
        <f t="shared" si="66"/>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67"/>
        <v>lt827_mthd_usd_instrmnttabela</v>
      </c>
      <c r="B513" s="68" t="s">
        <v>26</v>
      </c>
      <c r="C513" s="69" t="s">
        <v>26</v>
      </c>
      <c r="D513" s="65" t="s">
        <v>40</v>
      </c>
      <c r="E513" s="71" t="s">
        <v>1949</v>
      </c>
      <c r="F513" s="73" t="s">
        <v>392</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64"/>
        <v>0.51249999999999996</v>
      </c>
      <c r="K513" s="181">
        <f>SUMIFS(Table1[Horas efetivas],Table1[Tabela],Plano_V3!E513,Table1[Campo],Plano_V3!F513)</f>
        <v>4.0999999999999996</v>
      </c>
      <c r="L513" s="181">
        <f t="shared" si="65"/>
        <v>0.51249999999999996</v>
      </c>
      <c r="M513" s="183"/>
      <c r="N513" s="183">
        <f t="shared" si="66"/>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67"/>
        <v>lt827_mthd_usd_instrmntorigem_scp1_emss</v>
      </c>
      <c r="B514" s="68" t="s">
        <v>26</v>
      </c>
      <c r="C514" s="69" t="s">
        <v>26</v>
      </c>
      <c r="D514" s="65" t="s">
        <v>40</v>
      </c>
      <c r="E514" s="71" t="s">
        <v>1949</v>
      </c>
      <c r="F514" s="72" t="s">
        <v>320</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64"/>
        <v>0.51249999999999996</v>
      </c>
      <c r="K514" s="181">
        <f>SUMIFS(Table1[Horas efetivas],Table1[Tabela],Plano_V3!E514,Table1[Campo],Plano_V3!F514)</f>
        <v>4.0999999999999996</v>
      </c>
      <c r="L514" s="181">
        <f t="shared" si="65"/>
        <v>0.51249999999999996</v>
      </c>
      <c r="M514" s="183"/>
      <c r="N514" s="183">
        <f t="shared" si="66"/>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67"/>
        <v>lt827_mthd_usd_instrmntorigem_scp2_emss</v>
      </c>
      <c r="B515" s="68" t="s">
        <v>26</v>
      </c>
      <c r="C515" s="69" t="s">
        <v>26</v>
      </c>
      <c r="D515" s="65" t="s">
        <v>40</v>
      </c>
      <c r="E515" s="71" t="s">
        <v>1949</v>
      </c>
      <c r="F515" s="72" t="s">
        <v>321</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64"/>
        <v>0.51249999999999996</v>
      </c>
      <c r="K515" s="181">
        <f>SUMIFS(Table1[Horas efetivas],Table1[Tabela],Plano_V3!E515,Table1[Campo],Plano_V3!F515)</f>
        <v>4.0999999999999996</v>
      </c>
      <c r="L515" s="181">
        <f t="shared" si="65"/>
        <v>0.51249999999999996</v>
      </c>
      <c r="M515" s="183"/>
      <c r="N515" s="183">
        <f t="shared" si="66"/>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67"/>
        <v>lt827_mthd_usd_instrmntorigem_scp3_emss</v>
      </c>
      <c r="B516" s="68" t="s">
        <v>26</v>
      </c>
      <c r="C516" s="69" t="s">
        <v>26</v>
      </c>
      <c r="D516" s="65" t="s">
        <v>40</v>
      </c>
      <c r="E516" s="71" t="s">
        <v>1949</v>
      </c>
      <c r="F516" s="72" t="s">
        <v>322</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64"/>
        <v>0.51249999999999996</v>
      </c>
      <c r="K516" s="181">
        <f>SUMIFS(Table1[Horas efetivas],Table1[Tabela],Plano_V3!E516,Table1[Campo],Plano_V3!F516)</f>
        <v>4.0999999999999996</v>
      </c>
      <c r="L516" s="181">
        <f t="shared" si="65"/>
        <v>0.51249999999999996</v>
      </c>
      <c r="M516" s="183"/>
      <c r="N516" s="183">
        <f t="shared" si="66"/>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67"/>
        <v>lt827_mthd_usd_instrmntmthd_usd_instrmnt_scp_1</v>
      </c>
      <c r="B517" s="68" t="s">
        <v>26</v>
      </c>
      <c r="C517" s="69" t="s">
        <v>26</v>
      </c>
      <c r="D517" s="65" t="s">
        <v>40</v>
      </c>
      <c r="E517" s="71" t="s">
        <v>1949</v>
      </c>
      <c r="F517" s="72" t="s">
        <v>386</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64"/>
        <v>0.51249999999999996</v>
      </c>
      <c r="K517" s="181">
        <f>SUMIFS(Table1[Horas efetivas],Table1[Tabela],Plano_V3!E517,Table1[Campo],Plano_V3!F517)</f>
        <v>4.0999999999999996</v>
      </c>
      <c r="L517" s="181">
        <f t="shared" si="65"/>
        <v>0.51249999999999996</v>
      </c>
      <c r="M517" s="183"/>
      <c r="N517" s="183">
        <f t="shared" si="66"/>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67"/>
        <v>lt827_mthd_usd_instrmntmthd_usd_instrmnt_scp_2</v>
      </c>
      <c r="B518" s="68" t="s">
        <v>26</v>
      </c>
      <c r="C518" s="69" t="s">
        <v>26</v>
      </c>
      <c r="D518" s="65" t="s">
        <v>40</v>
      </c>
      <c r="E518" s="71" t="s">
        <v>1949</v>
      </c>
      <c r="F518" s="72" t="s">
        <v>387</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64"/>
        <v>0.51249999999999996</v>
      </c>
      <c r="K518" s="181">
        <f>SUMIFS(Table1[Horas efetivas],Table1[Tabela],Plano_V3!E518,Table1[Campo],Plano_V3!F518)</f>
        <v>4.0999999999999996</v>
      </c>
      <c r="L518" s="181">
        <f t="shared" si="65"/>
        <v>0.51249999999999996</v>
      </c>
      <c r="M518" s="183"/>
      <c r="N518" s="183">
        <f t="shared" si="66"/>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67"/>
        <v>lt827_mthd_usd_instrmntmthd_usd_instrmnt_scp_3</v>
      </c>
      <c r="B519" s="68" t="s">
        <v>26</v>
      </c>
      <c r="C519" s="69" t="s">
        <v>26</v>
      </c>
      <c r="D519" s="65" t="s">
        <v>40</v>
      </c>
      <c r="E519" s="71" t="s">
        <v>1949</v>
      </c>
      <c r="F519" s="72" t="s">
        <v>388</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64"/>
        <v>0.51249999999999996</v>
      </c>
      <c r="K519" s="181">
        <f>SUMIFS(Table1[Horas efetivas],Table1[Tabela],Plano_V3!E519,Table1[Campo],Plano_V3!F519)</f>
        <v>4.0999999999999996</v>
      </c>
      <c r="L519" s="181">
        <f t="shared" si="65"/>
        <v>0.51249999999999996</v>
      </c>
      <c r="M519" s="183"/>
      <c r="N519" s="183">
        <f t="shared" si="66"/>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67"/>
        <v>lt827_mthd_usd_instrmntpurpose_code</v>
      </c>
      <c r="B520" s="68"/>
      <c r="C520" s="69"/>
      <c r="D520" s="65" t="s">
        <v>40</v>
      </c>
      <c r="E520" s="71" t="s">
        <v>1949</v>
      </c>
      <c r="F520" s="72" t="s">
        <v>1933</v>
      </c>
      <c r="G520" s="65" t="str">
        <f>INDEX(Auxiliar!$B$16:$B$24,MATCH(Plano_V3!H520,Auxiliar!$C$16:$C$24,0),1)</f>
        <v>1. Concluído</v>
      </c>
      <c r="H520" s="65">
        <f>VLOOKUP(A520,'Aux - pivots1'!$A:$B,2,0)</f>
        <v>1</v>
      </c>
      <c r="I520" s="181">
        <f>SUMIFS(Table1[Estimação (horas)],Table1[Tabela],Plano_V3!E520,Table1[Campo],Plano_V3!F520)</f>
        <v>4.0999999999999996</v>
      </c>
      <c r="J520" s="181">
        <f>I520/8</f>
        <v>0.51249999999999996</v>
      </c>
      <c r="K520" s="181">
        <f>SUMIFS(Table1[Horas efetivas],Table1[Tabela],Plano_V3!E520,Table1[Campo],Plano_V3!F520)</f>
        <v>4.0999999999999996</v>
      </c>
      <c r="L520" s="181">
        <f>K520/8</f>
        <v>0.51249999999999996</v>
      </c>
      <c r="M520" s="183"/>
      <c r="N520" s="183">
        <f>L520/J520</f>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67"/>
        <v>lt827_mthd_usd_instrmntflg_fin</v>
      </c>
      <c r="B521" s="68"/>
      <c r="C521" s="69"/>
      <c r="D521" s="65" t="s">
        <v>40</v>
      </c>
      <c r="E521" s="71" t="s">
        <v>1949</v>
      </c>
      <c r="F521" s="72" t="s">
        <v>481</v>
      </c>
      <c r="G521" s="65" t="str">
        <f>INDEX(Auxiliar!$B$16:$B$24,MATCH(Plano_V3!H521,Auxiliar!$C$16:$C$24,0),1)</f>
        <v>1. Concluído</v>
      </c>
      <c r="H521" s="65">
        <f>VLOOKUP(A521,'Aux - pivots1'!$A:$B,2,0)</f>
        <v>1</v>
      </c>
      <c r="I521" s="181">
        <f>SUMIFS(Table1[Estimação (horas)],Table1[Tabela],Plano_V3!E521,Table1[Campo],Plano_V3!F521)</f>
        <v>4.0999999999999996</v>
      </c>
      <c r="J521" s="181">
        <f>I521/8</f>
        <v>0.51249999999999996</v>
      </c>
      <c r="K521" s="181">
        <f>SUMIFS(Table1[Horas efetivas],Table1[Tabela],Plano_V3!E521,Table1[Campo],Plano_V3!F521)</f>
        <v>4.0999999999999996</v>
      </c>
      <c r="L521" s="181">
        <f>K521/8</f>
        <v>0.51249999999999996</v>
      </c>
      <c r="M521" s="183"/>
      <c r="N521" s="183">
        <f>L521/J521</f>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67"/>
        <v>lt827_mthd_usd_instrmntflg_exec</v>
      </c>
      <c r="B522" s="68"/>
      <c r="C522" s="69"/>
      <c r="D522" s="65" t="s">
        <v>40</v>
      </c>
      <c r="E522" s="71" t="s">
        <v>1949</v>
      </c>
      <c r="F522" s="72" t="s">
        <v>1355</v>
      </c>
      <c r="G522" s="65" t="str">
        <f>INDEX(Auxiliar!$B$16:$B$24,MATCH(Plano_V3!H522,Auxiliar!$C$16:$C$24,0),1)</f>
        <v>1. Concluído</v>
      </c>
      <c r="H522" s="65">
        <f>VLOOKUP(A522,'Aux - pivots1'!$A:$B,2,0)</f>
        <v>1</v>
      </c>
      <c r="I522" s="181">
        <f>SUMIFS(Table1[Estimação (horas)],Table1[Tabela],Plano_V3!E522,Table1[Campo],Plano_V3!F522)</f>
        <v>4.0999999999999996</v>
      </c>
      <c r="J522" s="181">
        <f>I522/8</f>
        <v>0.51249999999999996</v>
      </c>
      <c r="K522" s="181">
        <f>SUMIFS(Table1[Horas efetivas],Table1[Tabela],Plano_V3!E522,Table1[Campo],Plano_V3!F522)</f>
        <v>4.0999999999999996</v>
      </c>
      <c r="L522" s="181">
        <f>K522/8</f>
        <v>0.51249999999999996</v>
      </c>
      <c r="M522" s="183"/>
      <c r="N522" s="183">
        <f>L522/J522</f>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67"/>
        <v>lt827_mthd_usd_instrmntflg_col</v>
      </c>
      <c r="B523" s="68"/>
      <c r="C523" s="69"/>
      <c r="D523" s="65" t="s">
        <v>40</v>
      </c>
      <c r="E523" s="71" t="s">
        <v>1949</v>
      </c>
      <c r="F523" s="72" t="s">
        <v>480</v>
      </c>
      <c r="G523" s="65" t="str">
        <f>INDEX(Auxiliar!$B$16:$B$24,MATCH(Plano_V3!H523,Auxiliar!$C$16:$C$24,0),1)</f>
        <v>1. Concluído</v>
      </c>
      <c r="H523" s="65">
        <f>VLOOKUP(A523,'Aux - pivots1'!$A:$B,2,0)</f>
        <v>1</v>
      </c>
      <c r="I523" s="181">
        <f>SUMIFS(Table1[Estimação (horas)],Table1[Tabela],Plano_V3!E523,Table1[Campo],Plano_V3!F523)</f>
        <v>4.0999999999999996</v>
      </c>
      <c r="J523" s="181">
        <f>I523/8</f>
        <v>0.51249999999999996</v>
      </c>
      <c r="K523" s="181">
        <f>SUMIFS(Table1[Horas efetivas],Table1[Tabela],Plano_V3!E523,Table1[Campo],Plano_V3!F523)</f>
        <v>4.0999999999999996</v>
      </c>
      <c r="L523" s="181">
        <f>K523/8</f>
        <v>0.51249999999999996</v>
      </c>
      <c r="M523" s="183"/>
      <c r="N523" s="183">
        <f>L523/J523</f>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67"/>
        <v>lt827_mthd_usd_instrmntflg_pro</v>
      </c>
      <c r="B524" s="68"/>
      <c r="C524" s="69"/>
      <c r="D524" s="65" t="s">
        <v>40</v>
      </c>
      <c r="E524" s="71" t="s">
        <v>1949</v>
      </c>
      <c r="F524" s="72" t="s">
        <v>482</v>
      </c>
      <c r="G524" s="65" t="str">
        <f>INDEX(Auxiliar!$B$16:$B$24,MATCH(Plano_V3!H524,Auxiliar!$C$16:$C$24,0),1)</f>
        <v>1. Concluído</v>
      </c>
      <c r="H524" s="65">
        <f>VLOOKUP(A524,'Aux - pivots1'!$A:$B,2,0)</f>
        <v>1</v>
      </c>
      <c r="I524" s="181">
        <f>SUMIFS(Table1[Estimação (horas)],Table1[Tabela],Plano_V3!E524,Table1[Campo],Plano_V3!F524)</f>
        <v>4.0999999999999996</v>
      </c>
      <c r="J524" s="181">
        <f>I524/8</f>
        <v>0.51249999999999996</v>
      </c>
      <c r="K524" s="181">
        <f>SUMIFS(Table1[Horas efetivas],Table1[Tabela],Plano_V3!E524,Table1[Campo],Plano_V3!F524)</f>
        <v>4.0999999999999996</v>
      </c>
      <c r="L524" s="181">
        <f>K524/8</f>
        <v>0.51249999999999996</v>
      </c>
      <c r="M524" s="183"/>
      <c r="N524" s="183">
        <f>L524/J524</f>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67"/>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1">
        <f>SUMIFS(Table1[Estimação (horas)],Table1[Tabela],Plano_V3!E525,Table1[Campo],Plano_V3!F525)</f>
        <v>4.0999999999999996</v>
      </c>
      <c r="J525" s="181">
        <f t="shared" si="64"/>
        <v>0.51249999999999996</v>
      </c>
      <c r="K525" s="181">
        <f>SUMIFS(Table1[Horas efetivas],Table1[Tabela],Plano_V3!E525,Table1[Campo],Plano_V3!F525)</f>
        <v>4.0999999999999996</v>
      </c>
      <c r="L525" s="181">
        <f t="shared" si="65"/>
        <v>0.51249999999999996</v>
      </c>
      <c r="M525" s="183"/>
      <c r="N525" s="183">
        <f t="shared" si="66"/>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67"/>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1">
        <f>SUMIFS(Table1[Estimação (horas)],Table1[Tabela],Plano_V3!E526,Table1[Campo],Plano_V3!F526)</f>
        <v>4.0999999999999996</v>
      </c>
      <c r="J526" s="181">
        <f t="shared" ref="J526:J589" si="68">I526/8</f>
        <v>0.51249999999999996</v>
      </c>
      <c r="K526" s="181">
        <f>SUMIFS(Table1[Horas efetivas],Table1[Tabela],Plano_V3!E526,Table1[Campo],Plano_V3!F526)</f>
        <v>4.0999999999999996</v>
      </c>
      <c r="L526" s="181">
        <f t="shared" ref="L526:L589" si="69">K526/8</f>
        <v>0.51249999999999996</v>
      </c>
      <c r="M526" s="183"/>
      <c r="N526" s="183">
        <f t="shared" ref="N526:N592" si="70">L526/J526</f>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67"/>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1">
        <f>SUMIFS(Table1[Estimação (horas)],Table1[Tabela],Plano_V3!E527,Table1[Campo],Plano_V3!F527)</f>
        <v>4.0999999999999996</v>
      </c>
      <c r="J527" s="181">
        <f t="shared" si="68"/>
        <v>0.51249999999999996</v>
      </c>
      <c r="K527" s="181">
        <f>SUMIFS(Table1[Horas efetivas],Table1[Tabela],Plano_V3!E527,Table1[Campo],Plano_V3!F527)</f>
        <v>4.0999999999999996</v>
      </c>
      <c r="L527" s="181">
        <f t="shared" si="69"/>
        <v>0.51249999999999996</v>
      </c>
      <c r="M527" s="183"/>
      <c r="N527" s="183">
        <f t="shared" si="70"/>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67"/>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68"/>
        <v>0.51249999999999996</v>
      </c>
      <c r="K528" s="181">
        <f>SUMIFS(Table1[Horas efetivas],Table1[Tabela],Plano_V3!E528,Table1[Campo],Plano_V3!F528)</f>
        <v>4.0999999999999996</v>
      </c>
      <c r="L528" s="181">
        <f t="shared" si="69"/>
        <v>0.51249999999999996</v>
      </c>
      <c r="M528" s="183"/>
      <c r="N528" s="183">
        <f t="shared" si="70"/>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67"/>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68"/>
        <v>0.51249999999999996</v>
      </c>
      <c r="K529" s="181">
        <f>SUMIFS(Table1[Horas efetivas],Table1[Tabela],Plano_V3!E529,Table1[Campo],Plano_V3!F529)</f>
        <v>4.0999999999999996</v>
      </c>
      <c r="L529" s="181">
        <f t="shared" si="69"/>
        <v>0.51249999999999996</v>
      </c>
      <c r="M529" s="183"/>
      <c r="N529" s="183">
        <f t="shared" si="70"/>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67"/>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68"/>
        <v>0.51249999999999996</v>
      </c>
      <c r="K530" s="181">
        <f>SUMIFS(Table1[Horas efetivas],Table1[Tabela],Plano_V3!E530,Table1[Campo],Plano_V3!F530)</f>
        <v>4.0999999999999996</v>
      </c>
      <c r="L530" s="181">
        <f t="shared" si="69"/>
        <v>0.51249999999999996</v>
      </c>
      <c r="M530" s="183"/>
      <c r="N530" s="183">
        <f t="shared" si="70"/>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67"/>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68"/>
        <v>0.51249999999999996</v>
      </c>
      <c r="K531" s="181">
        <f>SUMIFS(Table1[Horas efetivas],Table1[Tabela],Plano_V3!E531,Table1[Campo],Plano_V3!F531)</f>
        <v>4.0999999999999996</v>
      </c>
      <c r="L531" s="181">
        <f t="shared" si="69"/>
        <v>0.51249999999999996</v>
      </c>
      <c r="M531" s="183"/>
      <c r="N531" s="183">
        <f t="shared" si="70"/>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67"/>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68"/>
        <v>0.51249999999999996</v>
      </c>
      <c r="K532" s="181">
        <f>SUMIFS(Table1[Horas efetivas],Table1[Tabela],Plano_V3!E532,Table1[Campo],Plano_V3!F532)</f>
        <v>4.0999999999999996</v>
      </c>
      <c r="L532" s="181">
        <f t="shared" si="69"/>
        <v>0.51249999999999996</v>
      </c>
      <c r="M532" s="183"/>
      <c r="N532" s="183">
        <f t="shared" si="70"/>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67"/>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68"/>
        <v>0.51249999999999996</v>
      </c>
      <c r="K533" s="181">
        <f>SUMIFS(Table1[Horas efetivas],Table1[Tabela],Plano_V3!E533,Table1[Campo],Plano_V3!F533)</f>
        <v>4.0999999999999996</v>
      </c>
      <c r="L533" s="181">
        <f t="shared" si="69"/>
        <v>0.51249999999999996</v>
      </c>
      <c r="M533" s="183"/>
      <c r="N533" s="183">
        <f t="shared" si="70"/>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67"/>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1">
        <f>SUMIFS(Table1[Estimação (horas)],Table1[Tabela],Plano_V3!E534,Table1[Campo],Plano_V3!F534)</f>
        <v>0.1</v>
      </c>
      <c r="J534" s="181">
        <f t="shared" si="68"/>
        <v>1.2500000000000001E-2</v>
      </c>
      <c r="K534" s="181">
        <f>SUMIFS(Table1[Horas efetivas],Table1[Tabela],Plano_V3!E534,Table1[Campo],Plano_V3!F534)</f>
        <v>0.1</v>
      </c>
      <c r="L534" s="181">
        <f t="shared" si="69"/>
        <v>1.2500000000000001E-2</v>
      </c>
      <c r="M534" s="183"/>
      <c r="N534" s="183">
        <f t="shared" si="70"/>
        <v>1</v>
      </c>
      <c r="O534" s="183"/>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67"/>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1">
        <f>SUMIFS(Table1[Estimação (horas)],Table1[Tabela],Plano_V3!E535,Table1[Campo],Plano_V3!F535)</f>
        <v>0.1</v>
      </c>
      <c r="J535" s="181">
        <f t="shared" si="68"/>
        <v>1.2500000000000001E-2</v>
      </c>
      <c r="K535" s="181">
        <f>SUMIFS(Table1[Horas efetivas],Table1[Tabela],Plano_V3!E535,Table1[Campo],Plano_V3!F535)</f>
        <v>0.1</v>
      </c>
      <c r="L535" s="181">
        <f t="shared" si="69"/>
        <v>1.2500000000000001E-2</v>
      </c>
      <c r="M535" s="183"/>
      <c r="N535" s="183">
        <f t="shared" si="70"/>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67"/>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1">
        <f>SUMIFS(Table1[Estimação (horas)],Table1[Tabela],Plano_V3!E536,Table1[Campo],Plano_V3!F536)</f>
        <v>0.1</v>
      </c>
      <c r="J536" s="181">
        <f t="shared" si="68"/>
        <v>1.2500000000000001E-2</v>
      </c>
      <c r="K536" s="181">
        <f>SUMIFS(Table1[Horas efetivas],Table1[Tabela],Plano_V3!E536,Table1[Campo],Plano_V3!F536)</f>
        <v>0.1</v>
      </c>
      <c r="L536" s="181">
        <f t="shared" si="69"/>
        <v>1.2500000000000001E-2</v>
      </c>
      <c r="M536" s="183"/>
      <c r="N536" s="183">
        <f t="shared" si="70"/>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67"/>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1">
        <f>SUMIFS(Table1[Estimação (horas)],Table1[Tabela],Plano_V3!E537,Table1[Campo],Plano_V3!F537)</f>
        <v>0.1</v>
      </c>
      <c r="J537" s="181">
        <f t="shared" si="68"/>
        <v>1.2500000000000001E-2</v>
      </c>
      <c r="K537" s="181">
        <f>SUMIFS(Table1[Horas efetivas],Table1[Tabela],Plano_V3!E537,Table1[Campo],Plano_V3!F537)</f>
        <v>0.1</v>
      </c>
      <c r="L537" s="181">
        <f t="shared" si="69"/>
        <v>1.2500000000000001E-2</v>
      </c>
      <c r="M537" s="183"/>
      <c r="N537" s="183">
        <f t="shared" si="70"/>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67"/>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1">
        <f>SUMIFS(Table1[Estimação (horas)],Table1[Tabela],Plano_V3!E538,Table1[Campo],Plano_V3!F538)</f>
        <v>0.1</v>
      </c>
      <c r="J538" s="181">
        <f t="shared" si="68"/>
        <v>1.2500000000000001E-2</v>
      </c>
      <c r="K538" s="181">
        <f>SUMIFS(Table1[Horas efetivas],Table1[Tabela],Plano_V3!E538,Table1[Campo],Plano_V3!F538)</f>
        <v>0.1</v>
      </c>
      <c r="L538" s="181">
        <f t="shared" si="69"/>
        <v>1.2500000000000001E-2</v>
      </c>
      <c r="M538" s="183"/>
      <c r="N538" s="183">
        <f t="shared" si="70"/>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67"/>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1">
        <f>SUMIFS(Table1[Estimação (horas)],Table1[Tabela],Plano_V3!E539,Table1[Campo],Plano_V3!F539)</f>
        <v>0.1</v>
      </c>
      <c r="J539" s="181">
        <f t="shared" si="68"/>
        <v>1.2500000000000001E-2</v>
      </c>
      <c r="K539" s="181">
        <f>SUMIFS(Table1[Horas efetivas],Table1[Tabela],Plano_V3!E539,Table1[Campo],Plano_V3!F539)</f>
        <v>0.1</v>
      </c>
      <c r="L539" s="181">
        <f t="shared" si="69"/>
        <v>1.2500000000000001E-2</v>
      </c>
      <c r="M539" s="183"/>
      <c r="N539" s="183">
        <f t="shared" si="70"/>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67"/>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1">
        <f>SUMIFS(Table1[Estimação (horas)],Table1[Tabela],Plano_V3!E540,Table1[Campo],Plano_V3!F540)</f>
        <v>0.1</v>
      </c>
      <c r="J540" s="181">
        <f t="shared" si="68"/>
        <v>1.2500000000000001E-2</v>
      </c>
      <c r="K540" s="181">
        <f>SUMIFS(Table1[Horas efetivas],Table1[Tabela],Plano_V3!E540,Table1[Campo],Plano_V3!F540)</f>
        <v>0.1</v>
      </c>
      <c r="L540" s="181">
        <f t="shared" si="69"/>
        <v>1.2500000000000001E-2</v>
      </c>
      <c r="M540" s="183"/>
      <c r="N540" s="183">
        <f t="shared" si="70"/>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67"/>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1">
        <f>SUMIFS(Table1[Estimação (horas)],Table1[Tabela],Plano_V3!E541,Table1[Campo],Plano_V3!F541)</f>
        <v>0.1</v>
      </c>
      <c r="J541" s="181">
        <f t="shared" si="68"/>
        <v>1.2500000000000001E-2</v>
      </c>
      <c r="K541" s="181">
        <f>SUMIFS(Table1[Horas efetivas],Table1[Tabela],Plano_V3!E541,Table1[Campo],Plano_V3!F541)</f>
        <v>0.1</v>
      </c>
      <c r="L541" s="181">
        <f t="shared" si="69"/>
        <v>1.2500000000000001E-2</v>
      </c>
      <c r="M541" s="183"/>
      <c r="N541" s="183">
        <f t="shared" si="70"/>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67"/>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1">
        <f>SUMIFS(Table1[Estimação (horas)],Table1[Tabela],Plano_V3!E542,Table1[Campo],Plano_V3!F542)</f>
        <v>0.1</v>
      </c>
      <c r="J542" s="181">
        <f t="shared" si="68"/>
        <v>1.2500000000000001E-2</v>
      </c>
      <c r="K542" s="181">
        <f>SUMIFS(Table1[Horas efetivas],Table1[Tabela],Plano_V3!E542,Table1[Campo],Plano_V3!F542)</f>
        <v>0.1</v>
      </c>
      <c r="L542" s="181">
        <f t="shared" si="69"/>
        <v>1.2500000000000001E-2</v>
      </c>
      <c r="M542" s="183"/>
      <c r="N542" s="183">
        <f t="shared" si="70"/>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67"/>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1">
        <f>SUMIFS(Table1[Estimação (horas)],Table1[Tabela],Plano_V3!E543,Table1[Campo],Plano_V3!F543)</f>
        <v>0.1</v>
      </c>
      <c r="J543" s="181">
        <f t="shared" si="68"/>
        <v>1.2500000000000001E-2</v>
      </c>
      <c r="K543" s="181">
        <f>SUMIFS(Table1[Horas efetivas],Table1[Tabela],Plano_V3!E543,Table1[Campo],Plano_V3!F543)</f>
        <v>0.1</v>
      </c>
      <c r="L543" s="181">
        <f t="shared" si="69"/>
        <v>1.2500000000000001E-2</v>
      </c>
      <c r="M543" s="183"/>
      <c r="N543" s="183">
        <f t="shared" si="70"/>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67"/>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1">
        <f>SUMIFS(Table1[Estimação (horas)],Table1[Tabela],Plano_V3!E544,Table1[Campo],Plano_V3!F544)</f>
        <v>0.1</v>
      </c>
      <c r="J544" s="181">
        <f t="shared" si="68"/>
        <v>1.2500000000000001E-2</v>
      </c>
      <c r="K544" s="181">
        <f>SUMIFS(Table1[Horas efetivas],Table1[Tabela],Plano_V3!E544,Table1[Campo],Plano_V3!F544)</f>
        <v>0.1</v>
      </c>
      <c r="L544" s="181">
        <f t="shared" si="69"/>
        <v>1.2500000000000001E-2</v>
      </c>
      <c r="M544" s="183"/>
      <c r="N544" s="183">
        <f t="shared" si="70"/>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67"/>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1">
        <f>SUMIFS(Table1[Estimação (horas)],Table1[Tabela],Plano_V3!E545,Table1[Campo],Plano_V3!F545)</f>
        <v>0.1</v>
      </c>
      <c r="J545" s="181">
        <f t="shared" si="68"/>
        <v>1.2500000000000001E-2</v>
      </c>
      <c r="K545" s="181">
        <f>SUMIFS(Table1[Horas efetivas],Table1[Tabela],Plano_V3!E545,Table1[Campo],Plano_V3!F545)</f>
        <v>0.1</v>
      </c>
      <c r="L545" s="181">
        <f t="shared" si="69"/>
        <v>1.2500000000000001E-2</v>
      </c>
      <c r="M545" s="183"/>
      <c r="N545" s="183">
        <f t="shared" si="70"/>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67"/>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1">
        <f>SUMIFS(Table1[Estimação (horas)],Table1[Tabela],Plano_V3!E546,Table1[Campo],Plano_V3!F546)</f>
        <v>0.1</v>
      </c>
      <c r="J546" s="181">
        <f t="shared" si="68"/>
        <v>1.2500000000000001E-2</v>
      </c>
      <c r="K546" s="181">
        <f>SUMIFS(Table1[Horas efetivas],Table1[Tabela],Plano_V3!E546,Table1[Campo],Plano_V3!F546)</f>
        <v>0.1</v>
      </c>
      <c r="L546" s="181">
        <f t="shared" si="69"/>
        <v>1.2500000000000001E-2</v>
      </c>
      <c r="M546" s="183"/>
      <c r="N546" s="183">
        <f t="shared" si="70"/>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67"/>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1">
        <f>SUMIFS(Table1[Estimação (horas)],Table1[Tabela],Plano_V3!E547,Table1[Campo],Plano_V3!F547)</f>
        <v>0.1</v>
      </c>
      <c r="J547" s="181">
        <f t="shared" si="68"/>
        <v>1.2500000000000001E-2</v>
      </c>
      <c r="K547" s="181">
        <f>SUMIFS(Table1[Horas efetivas],Table1[Tabela],Plano_V3!E547,Table1[Campo],Plano_V3!F547)</f>
        <v>0.1</v>
      </c>
      <c r="L547" s="181">
        <f t="shared" si="69"/>
        <v>1.2500000000000001E-2</v>
      </c>
      <c r="M547" s="183"/>
      <c r="N547" s="183">
        <f t="shared" si="70"/>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67"/>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1">
        <f>SUMIFS(Table1[Estimação (horas)],Table1[Tabela],Plano_V3!E548,Table1[Campo],Plano_V3!F548)</f>
        <v>0.1</v>
      </c>
      <c r="J548" s="181">
        <f t="shared" si="68"/>
        <v>1.2500000000000001E-2</v>
      </c>
      <c r="K548" s="181">
        <f>SUMIFS(Table1[Horas efetivas],Table1[Tabela],Plano_V3!E548,Table1[Campo],Plano_V3!F548)</f>
        <v>0.1</v>
      </c>
      <c r="L548" s="181">
        <f t="shared" si="69"/>
        <v>1.2500000000000001E-2</v>
      </c>
      <c r="M548" s="183"/>
      <c r="N548" s="183">
        <f t="shared" si="70"/>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67"/>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1">
        <f>SUMIFS(Table1[Estimação (horas)],Table1[Tabela],Plano_V3!E549,Table1[Campo],Plano_V3!F549)</f>
        <v>0.1</v>
      </c>
      <c r="J549" s="181">
        <f t="shared" si="68"/>
        <v>1.2500000000000001E-2</v>
      </c>
      <c r="K549" s="181">
        <f>SUMIFS(Table1[Horas efetivas],Table1[Tabela],Plano_V3!E549,Table1[Campo],Plano_V3!F549)</f>
        <v>0.1</v>
      </c>
      <c r="L549" s="181">
        <f t="shared" si="69"/>
        <v>1.2500000000000001E-2</v>
      </c>
      <c r="M549" s="183"/>
      <c r="N549" s="183">
        <f t="shared" si="70"/>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67"/>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1">
        <f>SUMIFS(Table1[Estimação (horas)],Table1[Tabela],Plano_V3!E550,Table1[Campo],Plano_V3!F550)</f>
        <v>0.1</v>
      </c>
      <c r="J550" s="181">
        <f t="shared" si="68"/>
        <v>1.2500000000000001E-2</v>
      </c>
      <c r="K550" s="181">
        <f>SUMIFS(Table1[Horas efetivas],Table1[Tabela],Plano_V3!E550,Table1[Campo],Plano_V3!F550)</f>
        <v>0.1</v>
      </c>
      <c r="L550" s="181">
        <f t="shared" si="69"/>
        <v>1.2500000000000001E-2</v>
      </c>
      <c r="M550" s="183"/>
      <c r="N550" s="183">
        <f t="shared" si="70"/>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67"/>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1">
        <f>SUMIFS(Table1[Estimação (horas)],Table1[Tabela],Plano_V3!E551,Table1[Campo],Plano_V3!F551)</f>
        <v>0.1</v>
      </c>
      <c r="J551" s="181">
        <f t="shared" si="68"/>
        <v>1.2500000000000001E-2</v>
      </c>
      <c r="K551" s="181">
        <f>SUMIFS(Table1[Horas efetivas],Table1[Tabela],Plano_V3!E551,Table1[Campo],Plano_V3!F551)</f>
        <v>0.1</v>
      </c>
      <c r="L551" s="181">
        <f t="shared" si="69"/>
        <v>1.2500000000000001E-2</v>
      </c>
      <c r="M551" s="183"/>
      <c r="N551" s="183">
        <f t="shared" si="70"/>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67"/>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1">
        <f>SUMIFS(Table1[Estimação (horas)],Table1[Tabela],Plano_V3!E552,Table1[Campo],Plano_V3!F552)</f>
        <v>0.1</v>
      </c>
      <c r="J552" s="181">
        <f t="shared" si="68"/>
        <v>1.2500000000000001E-2</v>
      </c>
      <c r="K552" s="181">
        <f>SUMIFS(Table1[Horas efetivas],Table1[Tabela],Plano_V3!E552,Table1[Campo],Plano_V3!F552)</f>
        <v>0.1</v>
      </c>
      <c r="L552" s="181">
        <f t="shared" si="69"/>
        <v>1.2500000000000001E-2</v>
      </c>
      <c r="M552" s="183"/>
      <c r="N552" s="183">
        <f t="shared" si="70"/>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67"/>
        <v>lt007_instr_activitysstnbl_indctr</v>
      </c>
      <c r="B553" s="68" t="s">
        <v>26</v>
      </c>
      <c r="C553" s="69" t="s">
        <v>26</v>
      </c>
      <c r="D553" s="65" t="s">
        <v>40</v>
      </c>
      <c r="E553" s="71" t="s">
        <v>1948</v>
      </c>
      <c r="F553" s="72" t="s">
        <v>419</v>
      </c>
      <c r="G553" s="65" t="str">
        <f>INDEX(Auxiliar!$B$16:$B$24,MATCH(Plano_V3!H553,Auxiliar!$C$16:$C$24,0),1)</f>
        <v>1. Concluído</v>
      </c>
      <c r="H553" s="65">
        <f>VLOOKUP(A553,'Aux - pivots1'!$A:$B,2,0)</f>
        <v>1</v>
      </c>
      <c r="I553" s="181">
        <f>SUMIFS(Table1[Estimação (horas)],Table1[Tabela],Plano_V3!E553,Table1[Campo],Plano_V3!F553)</f>
        <v>0.1</v>
      </c>
      <c r="J553" s="181">
        <f t="shared" si="68"/>
        <v>1.2500000000000001E-2</v>
      </c>
      <c r="K553" s="181">
        <f>SUMIFS(Table1[Horas efetivas],Table1[Tabela],Plano_V3!E553,Table1[Campo],Plano_V3!F553)</f>
        <v>0.1</v>
      </c>
      <c r="L553" s="181">
        <f t="shared" si="69"/>
        <v>1.2500000000000001E-2</v>
      </c>
      <c r="M553" s="183"/>
      <c r="N553" s="183">
        <f t="shared" si="70"/>
        <v>1</v>
      </c>
      <c r="O553" s="183"/>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67"/>
        <v>lt007_instr_activitysstnbl_ctgry</v>
      </c>
      <c r="B554" s="68" t="s">
        <v>26</v>
      </c>
      <c r="C554" s="69" t="s">
        <v>26</v>
      </c>
      <c r="D554" s="65" t="s">
        <v>40</v>
      </c>
      <c r="E554" s="71" t="s">
        <v>1948</v>
      </c>
      <c r="F554" s="72" t="s">
        <v>420</v>
      </c>
      <c r="G554" s="65" t="str">
        <f>INDEX(Auxiliar!$B$16:$B$24,MATCH(Plano_V3!H554,Auxiliar!$C$16:$C$24,0),1)</f>
        <v>4. Validação EF</v>
      </c>
      <c r="H554" s="65">
        <f>VLOOKUP(A554,'Aux - pivots1'!$A:$B,2,0)</f>
        <v>5</v>
      </c>
      <c r="I554" s="181">
        <f>SUMIFS(Table1[Estimação (horas)],Table1[Tabela],Plano_V3!E554,Table1[Campo],Plano_V3!F554)</f>
        <v>0.1</v>
      </c>
      <c r="J554" s="181">
        <f t="shared" si="68"/>
        <v>1.2500000000000001E-2</v>
      </c>
      <c r="K554" s="181">
        <f>SUMIFS(Table1[Horas efetivas],Table1[Tabela],Plano_V3!E554,Table1[Campo],Plano_V3!F554)</f>
        <v>2.5000000000000001E-2</v>
      </c>
      <c r="L554" s="181">
        <f t="shared" si="69"/>
        <v>3.1250000000000002E-3</v>
      </c>
      <c r="M554" s="183"/>
      <c r="N554" s="183">
        <f t="shared" si="70"/>
        <v>0.25</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67"/>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1">
        <f>SUMIFS(Table1[Estimação (horas)],Table1[Tabela],Plano_V3!E555,Table1[Campo],Plano_V3!F555)</f>
        <v>0.1</v>
      </c>
      <c r="J555" s="181">
        <f t="shared" si="68"/>
        <v>1.2500000000000001E-2</v>
      </c>
      <c r="K555" s="181">
        <f>SUMIFS(Table1[Horas efetivas],Table1[Tabela],Plano_V3!E555,Table1[Campo],Plano_V3!F555)</f>
        <v>0.05</v>
      </c>
      <c r="L555" s="181">
        <f t="shared" si="69"/>
        <v>6.2500000000000003E-3</v>
      </c>
      <c r="M555" s="183"/>
      <c r="N555" s="183">
        <f t="shared" si="70"/>
        <v>0.5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67"/>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1">
        <f>SUMIFS(Table1[Estimação (horas)],Table1[Tabela],Plano_V3!E556,Table1[Campo],Plano_V3!F556)</f>
        <v>0.1</v>
      </c>
      <c r="J556" s="181">
        <f t="shared" si="68"/>
        <v>1.2500000000000001E-2</v>
      </c>
      <c r="K556" s="181">
        <f>SUMIFS(Table1[Horas efetivas],Table1[Tabela],Plano_V3!E556,Table1[Campo],Plano_V3!F556)</f>
        <v>0.05</v>
      </c>
      <c r="L556" s="181">
        <f t="shared" si="69"/>
        <v>6.2500000000000003E-3</v>
      </c>
      <c r="M556" s="183"/>
      <c r="N556" s="183">
        <f t="shared" si="70"/>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67"/>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1">
        <f>SUMIFS(Table1[Estimação (horas)],Table1[Tabela],Plano_V3!E557,Table1[Campo],Plano_V3!F557)</f>
        <v>0.1</v>
      </c>
      <c r="J557" s="181">
        <f t="shared" si="68"/>
        <v>1.2500000000000001E-2</v>
      </c>
      <c r="K557" s="181">
        <f>SUMIFS(Table1[Horas efetivas],Table1[Tabela],Plano_V3!E557,Table1[Campo],Plano_V3!F557)</f>
        <v>0.05</v>
      </c>
      <c r="L557" s="181">
        <f t="shared" si="69"/>
        <v>6.2500000000000003E-3</v>
      </c>
      <c r="M557" s="183"/>
      <c r="N557" s="183">
        <f t="shared" si="70"/>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67"/>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1">
        <f>SUMIFS(Table1[Estimação (horas)],Table1[Tabela],Plano_V3!E558,Table1[Campo],Plano_V3!F558)</f>
        <v>0.1</v>
      </c>
      <c r="J558" s="181">
        <f t="shared" si="68"/>
        <v>1.2500000000000001E-2</v>
      </c>
      <c r="K558" s="181">
        <f>SUMIFS(Table1[Horas efetivas],Table1[Tabela],Plano_V3!E558,Table1[Campo],Plano_V3!F558)</f>
        <v>0.1</v>
      </c>
      <c r="L558" s="181">
        <f t="shared" si="69"/>
        <v>1.2500000000000001E-2</v>
      </c>
      <c r="M558" s="183"/>
      <c r="N558" s="183">
        <f t="shared" si="70"/>
        <v>1</v>
      </c>
      <c r="O558" s="183"/>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67"/>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1">
        <f>SUMIFS(Table1[Estimação (horas)],Table1[Tabela],Plano_V3!E559,Table1[Campo],Plano_V3!F559)</f>
        <v>0.1</v>
      </c>
      <c r="J559" s="181">
        <f t="shared" si="68"/>
        <v>1.2500000000000001E-2</v>
      </c>
      <c r="K559" s="181">
        <f>SUMIFS(Table1[Horas efetivas],Table1[Tabela],Plano_V3!E559,Table1[Campo],Plano_V3!F559)</f>
        <v>0.1</v>
      </c>
      <c r="L559" s="181">
        <f t="shared" si="69"/>
        <v>1.2500000000000001E-2</v>
      </c>
      <c r="M559" s="183"/>
      <c r="N559" s="183">
        <f t="shared" si="70"/>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67"/>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1">
        <f>SUMIFS(Table1[Estimação (horas)],Table1[Tabela],Plano_V3!E560,Table1[Campo],Plano_V3!F560)</f>
        <v>0.1</v>
      </c>
      <c r="J560" s="181">
        <f t="shared" si="68"/>
        <v>1.2500000000000001E-2</v>
      </c>
      <c r="K560" s="181">
        <f>SUMIFS(Table1[Horas efetivas],Table1[Tabela],Plano_V3!E560,Table1[Campo],Plano_V3!F560)</f>
        <v>0.1</v>
      </c>
      <c r="L560" s="181">
        <f t="shared" si="69"/>
        <v>1.2500000000000001E-2</v>
      </c>
      <c r="M560" s="183"/>
      <c r="N560" s="183">
        <f t="shared" si="70"/>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67"/>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1">
        <f>SUMIFS(Table1[Estimação (horas)],Table1[Tabela],Plano_V3!E561,Table1[Campo],Plano_V3!F561)</f>
        <v>0.1</v>
      </c>
      <c r="J561" s="181">
        <f t="shared" si="68"/>
        <v>1.2500000000000001E-2</v>
      </c>
      <c r="K561" s="181">
        <f>SUMIFS(Table1[Horas efetivas],Table1[Tabela],Plano_V3!E561,Table1[Campo],Plano_V3!F561)</f>
        <v>0.1</v>
      </c>
      <c r="L561" s="181">
        <f t="shared" si="69"/>
        <v>1.2500000000000001E-2</v>
      </c>
      <c r="M561" s="183"/>
      <c r="N561" s="183">
        <f t="shared" si="70"/>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67"/>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1">
        <f>SUMIFS(Table1[Estimação (horas)],Table1[Tabela],Plano_V3!E562,Table1[Campo],Plano_V3!F562)</f>
        <v>0.1</v>
      </c>
      <c r="J562" s="181">
        <f t="shared" si="68"/>
        <v>1.2500000000000001E-2</v>
      </c>
      <c r="K562" s="181">
        <f>SUMIFS(Table1[Horas efetivas],Table1[Tabela],Plano_V3!E562,Table1[Campo],Plano_V3!F562)</f>
        <v>0.1</v>
      </c>
      <c r="L562" s="181">
        <f t="shared" si="69"/>
        <v>1.2500000000000001E-2</v>
      </c>
      <c r="M562" s="183"/>
      <c r="N562" s="183">
        <f t="shared" si="70"/>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67"/>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1">
        <f>SUMIFS(Table1[Estimação (horas)],Table1[Tabela],Plano_V3!E563,Table1[Campo],Plano_V3!F563)</f>
        <v>0.1</v>
      </c>
      <c r="J563" s="181">
        <f t="shared" si="68"/>
        <v>1.2500000000000001E-2</v>
      </c>
      <c r="K563" s="181">
        <f>SUMIFS(Table1[Horas efetivas],Table1[Tabela],Plano_V3!E563,Table1[Campo],Plano_V3!F563)</f>
        <v>0.1</v>
      </c>
      <c r="L563" s="181">
        <f t="shared" si="69"/>
        <v>1.2500000000000001E-2</v>
      </c>
      <c r="M563" s="183"/>
      <c r="N563" s="183">
        <f t="shared" si="70"/>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67"/>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1">
        <f>SUMIFS(Table1[Estimação (horas)],Table1[Tabela],Plano_V3!E564,Table1[Campo],Plano_V3!F564)</f>
        <v>0.1</v>
      </c>
      <c r="J564" s="181">
        <f t="shared" si="68"/>
        <v>1.2500000000000001E-2</v>
      </c>
      <c r="K564" s="181">
        <f>SUMIFS(Table1[Horas efetivas],Table1[Tabela],Plano_V3!E564,Table1[Campo],Plano_V3!F564)</f>
        <v>0.1</v>
      </c>
      <c r="L564" s="181">
        <f t="shared" si="69"/>
        <v>1.2500000000000001E-2</v>
      </c>
      <c r="M564" s="183"/>
      <c r="N564" s="183">
        <f t="shared" si="70"/>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67"/>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1">
        <f>SUMIFS(Table1[Estimação (horas)],Table1[Tabela],Plano_V3!E565,Table1[Campo],Plano_V3!F565)</f>
        <v>0.1</v>
      </c>
      <c r="J565" s="181">
        <f t="shared" si="68"/>
        <v>1.2500000000000001E-2</v>
      </c>
      <c r="K565" s="181">
        <f>SUMIFS(Table1[Horas efetivas],Table1[Tabela],Plano_V3!E565,Table1[Campo],Plano_V3!F565)</f>
        <v>0.1</v>
      </c>
      <c r="L565" s="181">
        <f t="shared" si="69"/>
        <v>1.2500000000000001E-2</v>
      </c>
      <c r="M565" s="183"/>
      <c r="N565" s="183">
        <f t="shared" si="70"/>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67"/>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1">
        <f>SUMIFS(Table1[Estimação (horas)],Table1[Tabela],Plano_V3!E566,Table1[Campo],Plano_V3!F566)</f>
        <v>0.1</v>
      </c>
      <c r="J566" s="181">
        <f t="shared" si="68"/>
        <v>1.2500000000000001E-2</v>
      </c>
      <c r="K566" s="181">
        <f>SUMIFS(Table1[Horas efetivas],Table1[Tabela],Plano_V3!E566,Table1[Campo],Plano_V3!F566)</f>
        <v>0.1</v>
      </c>
      <c r="L566" s="181">
        <f t="shared" si="69"/>
        <v>1.2500000000000001E-2</v>
      </c>
      <c r="M566" s="183"/>
      <c r="N566" s="183">
        <f t="shared" si="70"/>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67"/>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1">
        <f>SUMIFS(Table1[Estimação (horas)],Table1[Tabela],Plano_V3!E567,Table1[Campo],Plano_V3!F567)</f>
        <v>0.1</v>
      </c>
      <c r="J567" s="181">
        <f t="shared" si="68"/>
        <v>1.2500000000000001E-2</v>
      </c>
      <c r="K567" s="181">
        <f>SUMIFS(Table1[Horas efetivas],Table1[Tabela],Plano_V3!E567,Table1[Campo],Plano_V3!F567)</f>
        <v>0.1</v>
      </c>
      <c r="L567" s="181">
        <f t="shared" si="69"/>
        <v>1.2500000000000001E-2</v>
      </c>
      <c r="M567" s="183"/>
      <c r="N567" s="183">
        <f t="shared" si="70"/>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67"/>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1">
        <f>SUMIFS(Table1[Estimação (horas)],Table1[Tabela],Plano_V3!E568,Table1[Campo],Plano_V3!F568)</f>
        <v>0.1</v>
      </c>
      <c r="J568" s="181">
        <f t="shared" si="68"/>
        <v>1.2500000000000001E-2</v>
      </c>
      <c r="K568" s="181">
        <f>SUMIFS(Table1[Horas efetivas],Table1[Tabela],Plano_V3!E568,Table1[Campo],Plano_V3!F568)</f>
        <v>0.1</v>
      </c>
      <c r="L568" s="181">
        <f t="shared" si="69"/>
        <v>1.2500000000000001E-2</v>
      </c>
      <c r="M568" s="183"/>
      <c r="N568" s="183">
        <f t="shared" si="70"/>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67"/>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1">
        <f>SUMIFS(Table1[Estimação (horas)],Table1[Tabela],Plano_V3!E569,Table1[Campo],Plano_V3!F569)</f>
        <v>0.1</v>
      </c>
      <c r="J569" s="181">
        <f t="shared" si="68"/>
        <v>1.2500000000000001E-2</v>
      </c>
      <c r="K569" s="181">
        <f>SUMIFS(Table1[Horas efetivas],Table1[Tabela],Plano_V3!E569,Table1[Campo],Plano_V3!F569)</f>
        <v>0.1</v>
      </c>
      <c r="L569" s="181">
        <f t="shared" si="69"/>
        <v>1.2500000000000001E-2</v>
      </c>
      <c r="M569" s="183"/>
      <c r="N569" s="183">
        <f t="shared" si="70"/>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67"/>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1">
        <f>SUMIFS(Table1[Estimação (horas)],Table1[Tabela],Plano_V3!E570,Table1[Campo],Plano_V3!F570)</f>
        <v>0.1</v>
      </c>
      <c r="J570" s="181">
        <f t="shared" si="68"/>
        <v>1.2500000000000001E-2</v>
      </c>
      <c r="K570" s="181">
        <f>SUMIFS(Table1[Horas efetivas],Table1[Tabela],Plano_V3!E570,Table1[Campo],Plano_V3!F570)</f>
        <v>0.1</v>
      </c>
      <c r="L570" s="181">
        <f t="shared" si="69"/>
        <v>1.2500000000000001E-2</v>
      </c>
      <c r="M570" s="183"/>
      <c r="N570" s="183">
        <f t="shared" si="70"/>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67"/>
        <v>lt004_protectionprtctn_id</v>
      </c>
      <c r="B571" s="68" t="s">
        <v>26</v>
      </c>
      <c r="C571" s="69" t="s">
        <v>26</v>
      </c>
      <c r="D571" s="65" t="s">
        <v>40</v>
      </c>
      <c r="E571" s="71" t="s">
        <v>369</v>
      </c>
      <c r="F571" s="72" t="s">
        <v>434</v>
      </c>
      <c r="G571" s="65" t="str">
        <f>INDEX(Auxiliar!$B$16:$B$24,MATCH(Plano_V3!H571,Auxiliar!$C$16:$C$24,0),1)</f>
        <v>1. Concluído</v>
      </c>
      <c r="H571" s="65">
        <f>VLOOKUP(A571,'Aux - pivots1'!$A:$B,2,0)</f>
        <v>1</v>
      </c>
      <c r="I571" s="181">
        <f>SUMIFS(Table1[Estimação (horas)],Table1[Tabela],Plano_V3!E571,Table1[Campo],Plano_V3!F571)</f>
        <v>0.1</v>
      </c>
      <c r="J571" s="181">
        <f t="shared" si="68"/>
        <v>1.2500000000000001E-2</v>
      </c>
      <c r="K571" s="181">
        <f>SUMIFS(Table1[Horas efetivas],Table1[Tabela],Plano_V3!E571,Table1[Campo],Plano_V3!F571)</f>
        <v>0.1</v>
      </c>
      <c r="L571" s="181">
        <f t="shared" si="69"/>
        <v>1.2500000000000001E-2</v>
      </c>
      <c r="M571" s="183"/>
      <c r="N571" s="183">
        <f t="shared" si="70"/>
        <v>1</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67"/>
        <v>lt004_protectionrl_estt_clltrl_lctn</v>
      </c>
      <c r="B572" s="68" t="s">
        <v>26</v>
      </c>
      <c r="C572" s="69" t="s">
        <v>26</v>
      </c>
      <c r="D572" s="65" t="s">
        <v>40</v>
      </c>
      <c r="E572" s="71" t="s">
        <v>369</v>
      </c>
      <c r="F572" s="72" t="s">
        <v>435</v>
      </c>
      <c r="G572" s="65" t="str">
        <f>INDEX(Auxiliar!$B$16:$B$24,MATCH(Plano_V3!H572,Auxiliar!$C$16:$C$24,0),1)</f>
        <v>1. Concluído</v>
      </c>
      <c r="H572" s="65">
        <f>VLOOKUP(A572,'Aux - pivots1'!$A:$B,2,0)</f>
        <v>1</v>
      </c>
      <c r="I572" s="181">
        <f>SUMIFS(Table1[Estimação (horas)],Table1[Tabela],Plano_V3!E572,Table1[Campo],Plano_V3!F572)</f>
        <v>0.1</v>
      </c>
      <c r="J572" s="181">
        <f t="shared" si="68"/>
        <v>1.2500000000000001E-2</v>
      </c>
      <c r="K572" s="181">
        <f>SUMIFS(Table1[Horas efetivas],Table1[Tabela],Plano_V3!E572,Table1[Campo],Plano_V3!F572)</f>
        <v>0.1</v>
      </c>
      <c r="L572" s="181">
        <f t="shared" si="69"/>
        <v>1.2500000000000001E-2</v>
      </c>
      <c r="M572" s="183"/>
      <c r="N572" s="183">
        <f t="shared" si="70"/>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67"/>
        <v>lt004_protectionrl_estt_pst_cd</v>
      </c>
      <c r="B573" s="68" t="s">
        <v>26</v>
      </c>
      <c r="C573" s="69" t="s">
        <v>26</v>
      </c>
      <c r="D573" s="65" t="s">
        <v>40</v>
      </c>
      <c r="E573" s="71" t="s">
        <v>369</v>
      </c>
      <c r="F573" s="72" t="s">
        <v>436</v>
      </c>
      <c r="G573" s="65" t="str">
        <f>INDEX(Auxiliar!$B$16:$B$24,MATCH(Plano_V3!H573,Auxiliar!$C$16:$C$24,0),1)</f>
        <v>1. Concluído</v>
      </c>
      <c r="H573" s="65">
        <f>VLOOKUP(A573,'Aux - pivots1'!$A:$B,2,0)</f>
        <v>1</v>
      </c>
      <c r="I573" s="181">
        <f>SUMIFS(Table1[Estimação (horas)],Table1[Tabela],Plano_V3!E573,Table1[Campo],Plano_V3!F573)</f>
        <v>0.1</v>
      </c>
      <c r="J573" s="181">
        <f t="shared" si="68"/>
        <v>1.2500000000000001E-2</v>
      </c>
      <c r="K573" s="181">
        <f>SUMIFS(Table1[Horas efetivas],Table1[Tabela],Plano_V3!E573,Table1[Campo],Plano_V3!F573)</f>
        <v>0.1</v>
      </c>
      <c r="L573" s="181">
        <f t="shared" si="69"/>
        <v>1.2500000000000001E-2</v>
      </c>
      <c r="M573" s="183"/>
      <c r="N573" s="183">
        <f t="shared" si="70"/>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67"/>
        <v>lt004_protectiontyp_prtctn</v>
      </c>
      <c r="B574" s="68" t="s">
        <v>26</v>
      </c>
      <c r="C574" s="69" t="s">
        <v>26</v>
      </c>
      <c r="D574" s="65" t="s">
        <v>40</v>
      </c>
      <c r="E574" s="71" t="s">
        <v>369</v>
      </c>
      <c r="F574" s="72" t="s">
        <v>437</v>
      </c>
      <c r="G574" s="65" t="str">
        <f>INDEX(Auxiliar!$B$16:$B$24,MATCH(Plano_V3!H574,Auxiliar!$C$16:$C$24,0),1)</f>
        <v>1. Concluído</v>
      </c>
      <c r="H574" s="65">
        <f>VLOOKUP(A574,'Aux - pivots1'!$A:$B,2,0)</f>
        <v>1</v>
      </c>
      <c r="I574" s="181">
        <f>SUMIFS(Table1[Estimação (horas)],Table1[Tabela],Plano_V3!E574,Table1[Campo],Plano_V3!F574)</f>
        <v>0.1</v>
      </c>
      <c r="J574" s="181">
        <f t="shared" si="68"/>
        <v>1.2500000000000001E-2</v>
      </c>
      <c r="K574" s="181">
        <f>SUMIFS(Table1[Horas efetivas],Table1[Tabela],Plano_V3!E574,Table1[Campo],Plano_V3!F574)</f>
        <v>0.1</v>
      </c>
      <c r="L574" s="181">
        <f t="shared" si="69"/>
        <v>1.2500000000000001E-2</v>
      </c>
      <c r="M574" s="183"/>
      <c r="N574" s="183">
        <f t="shared" si="70"/>
        <v>1</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67"/>
        <v>lt004_protectionorgnl_prtctn_vl</v>
      </c>
      <c r="B575" s="68" t="s">
        <v>26</v>
      </c>
      <c r="C575" s="69" t="s">
        <v>26</v>
      </c>
      <c r="D575" s="65" t="s">
        <v>40</v>
      </c>
      <c r="E575" s="71" t="s">
        <v>369</v>
      </c>
      <c r="F575" s="72" t="s">
        <v>438</v>
      </c>
      <c r="G575" s="65" t="str">
        <f>INDEX(Auxiliar!$B$16:$B$24,MATCH(Plano_V3!H575,Auxiliar!$C$16:$C$24,0),1)</f>
        <v>5. Em Correção</v>
      </c>
      <c r="H575" s="65">
        <f>VLOOKUP(A575,'Aux - pivots1'!$A:$B,2,0)</f>
        <v>6</v>
      </c>
      <c r="I575" s="181">
        <f>SUMIFS(Table1[Estimação (horas)],Table1[Tabela],Plano_V3!E575,Table1[Campo],Plano_V3!F575)</f>
        <v>0.1</v>
      </c>
      <c r="J575" s="181">
        <f t="shared" si="68"/>
        <v>1.2500000000000001E-2</v>
      </c>
      <c r="K575" s="181">
        <f>SUMIFS(Table1[Horas efetivas],Table1[Tabela],Plano_V3!E575,Table1[Campo],Plano_V3!F575)</f>
        <v>2.5000000000000001E-2</v>
      </c>
      <c r="L575" s="181">
        <f t="shared" si="69"/>
        <v>3.1250000000000002E-3</v>
      </c>
      <c r="M575" s="183"/>
      <c r="N575" s="183">
        <f t="shared" si="70"/>
        <v>0.25</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67"/>
        <v>lt004_protectionprtctn_vl</v>
      </c>
      <c r="B576" s="68" t="s">
        <v>26</v>
      </c>
      <c r="C576" s="69" t="s">
        <v>26</v>
      </c>
      <c r="D576" s="65" t="s">
        <v>40</v>
      </c>
      <c r="E576" s="71" t="s">
        <v>369</v>
      </c>
      <c r="F576" s="72" t="s">
        <v>439</v>
      </c>
      <c r="G576" s="65" t="str">
        <f>INDEX(Auxiliar!$B$16:$B$24,MATCH(Plano_V3!H576,Auxiliar!$C$16:$C$24,0),1)</f>
        <v>1. Concluído</v>
      </c>
      <c r="H576" s="65">
        <f>VLOOKUP(A576,'Aux - pivots1'!$A:$B,2,0)</f>
        <v>1</v>
      </c>
      <c r="I576" s="181">
        <f>SUMIFS(Table1[Estimação (horas)],Table1[Tabela],Plano_V3!E576,Table1[Campo],Plano_V3!F576)</f>
        <v>0.1</v>
      </c>
      <c r="J576" s="181">
        <f t="shared" si="68"/>
        <v>1.2500000000000001E-2</v>
      </c>
      <c r="K576" s="181">
        <f>SUMIFS(Table1[Horas efetivas],Table1[Tabela],Plano_V3!E576,Table1[Campo],Plano_V3!F576)</f>
        <v>0.1</v>
      </c>
      <c r="L576" s="181">
        <f t="shared" si="69"/>
        <v>1.2500000000000001E-2</v>
      </c>
      <c r="M576" s="183"/>
      <c r="N576" s="183">
        <f t="shared" si="70"/>
        <v>1</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67"/>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1">
        <f>SUMIFS(Table1[Estimação (horas)],Table1[Tabela],Plano_V3!E577,Table1[Campo],Plano_V3!F577)</f>
        <v>0.1</v>
      </c>
      <c r="J577" s="181">
        <f t="shared" si="68"/>
        <v>1.2500000000000001E-2</v>
      </c>
      <c r="K577" s="181">
        <f>SUMIFS(Table1[Horas efetivas],Table1[Tabela],Plano_V3!E577,Table1[Campo],Plano_V3!F577)</f>
        <v>0.1</v>
      </c>
      <c r="L577" s="181">
        <f t="shared" si="69"/>
        <v>1.2500000000000001E-2</v>
      </c>
      <c r="M577" s="183"/>
      <c r="N577" s="183">
        <f t="shared" si="70"/>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67"/>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1">
        <f>SUMIFS(Table1[Estimação (horas)],Table1[Tabela],Plano_V3!E578,Table1[Campo],Plano_V3!F578)</f>
        <v>0.1</v>
      </c>
      <c r="J578" s="181">
        <f t="shared" si="68"/>
        <v>1.2500000000000001E-2</v>
      </c>
      <c r="K578" s="181">
        <f>SUMIFS(Table1[Horas efetivas],Table1[Tabela],Plano_V3!E578,Table1[Campo],Plano_V3!F578)</f>
        <v>0.1</v>
      </c>
      <c r="L578" s="181">
        <f t="shared" si="69"/>
        <v>1.2500000000000001E-2</v>
      </c>
      <c r="M578" s="183"/>
      <c r="N578" s="183">
        <f t="shared" si="70"/>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67"/>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1">
        <f>SUMIFS(Table1[Estimação (horas)],Table1[Tabela],Plano_V3!E579,Table1[Campo],Plano_V3!F579)</f>
        <v>0.1</v>
      </c>
      <c r="J579" s="181">
        <f t="shared" si="68"/>
        <v>1.2500000000000001E-2</v>
      </c>
      <c r="K579" s="181">
        <f>SUMIFS(Table1[Horas efetivas],Table1[Tabela],Plano_V3!E579,Table1[Campo],Plano_V3!F579)</f>
        <v>0.1</v>
      </c>
      <c r="L579" s="181">
        <f t="shared" si="69"/>
        <v>1.2500000000000001E-2</v>
      </c>
      <c r="M579" s="183"/>
      <c r="N579" s="183">
        <f t="shared" si="70"/>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67"/>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1">
        <f>SUMIFS(Table1[Estimação (horas)],Table1[Tabela],Plano_V3!E580,Table1[Campo],Plano_V3!F580)</f>
        <v>0.1</v>
      </c>
      <c r="J580" s="181">
        <f t="shared" si="68"/>
        <v>1.2500000000000001E-2</v>
      </c>
      <c r="K580" s="181">
        <f>SUMIFS(Table1[Horas efetivas],Table1[Tabela],Plano_V3!E580,Table1[Campo],Plano_V3!F580)</f>
        <v>0.1</v>
      </c>
      <c r="L580" s="181">
        <f t="shared" si="69"/>
        <v>1.2500000000000001E-2</v>
      </c>
      <c r="M580" s="183"/>
      <c r="N580" s="183">
        <f t="shared" si="70"/>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67"/>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1">
        <f>SUMIFS(Table1[Estimação (horas)],Table1[Tabela],Plano_V3!E581,Table1[Campo],Plano_V3!F581)</f>
        <v>0.1</v>
      </c>
      <c r="J581" s="181">
        <f t="shared" si="68"/>
        <v>1.2500000000000001E-2</v>
      </c>
      <c r="K581" s="181">
        <f>SUMIFS(Table1[Horas efetivas],Table1[Tabela],Plano_V3!E581,Table1[Campo],Plano_V3!F581)</f>
        <v>0.1</v>
      </c>
      <c r="L581" s="181">
        <f t="shared" si="69"/>
        <v>1.2500000000000001E-2</v>
      </c>
      <c r="M581" s="183"/>
      <c r="N581" s="183">
        <f t="shared" si="70"/>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67"/>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1">
        <f>SUMIFS(Table1[Estimação (horas)],Table1[Tabela],Plano_V3!E582,Table1[Campo],Plano_V3!F582)</f>
        <v>0.1</v>
      </c>
      <c r="J582" s="181">
        <f t="shared" si="68"/>
        <v>1.2500000000000001E-2</v>
      </c>
      <c r="K582" s="181">
        <f>SUMIFS(Table1[Horas efetivas],Table1[Tabela],Plano_V3!E582,Table1[Campo],Plano_V3!F582)</f>
        <v>0.1</v>
      </c>
      <c r="L582" s="181">
        <f t="shared" si="69"/>
        <v>1.2500000000000001E-2</v>
      </c>
      <c r="M582" s="183"/>
      <c r="N582" s="183">
        <f t="shared" si="70"/>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67"/>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1">
        <f>SUMIFS(Table1[Estimação (horas)],Table1[Tabela],Plano_V3!E583,Table1[Campo],Plano_V3!F583)</f>
        <v>0.1</v>
      </c>
      <c r="J583" s="181">
        <f t="shared" si="68"/>
        <v>1.2500000000000001E-2</v>
      </c>
      <c r="K583" s="181">
        <f>SUMIFS(Table1[Horas efetivas],Table1[Tabela],Plano_V3!E583,Table1[Campo],Plano_V3!F583)</f>
        <v>0.1</v>
      </c>
      <c r="L583" s="181">
        <f t="shared" si="69"/>
        <v>1.2500000000000001E-2</v>
      </c>
      <c r="M583" s="183"/>
      <c r="N583" s="183">
        <f t="shared" si="70"/>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67"/>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1">
        <f>SUMIFS(Table1[Estimação (horas)],Table1[Tabela],Plano_V3!E584,Table1[Campo],Plano_V3!F584)</f>
        <v>0.1</v>
      </c>
      <c r="J584" s="181">
        <f t="shared" si="68"/>
        <v>1.2500000000000001E-2</v>
      </c>
      <c r="K584" s="181">
        <f>SUMIFS(Table1[Horas efetivas],Table1[Tabela],Plano_V3!E584,Table1[Campo],Plano_V3!F584)</f>
        <v>0.1</v>
      </c>
      <c r="L584" s="181">
        <f t="shared" si="69"/>
        <v>1.2500000000000001E-2</v>
      </c>
      <c r="M584" s="183"/>
      <c r="N584" s="183">
        <f t="shared" si="70"/>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67"/>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1">
        <f>SUMIFS(Table1[Estimação (horas)],Table1[Tabela],Plano_V3!E585,Table1[Campo],Plano_V3!F585)</f>
        <v>0.1</v>
      </c>
      <c r="J585" s="181">
        <f t="shared" si="68"/>
        <v>1.2500000000000001E-2</v>
      </c>
      <c r="K585" s="181">
        <f>SUMIFS(Table1[Horas efetivas],Table1[Tabela],Plano_V3!E585,Table1[Campo],Plano_V3!F585)</f>
        <v>0.1</v>
      </c>
      <c r="L585" s="181">
        <f t="shared" si="69"/>
        <v>1.2500000000000001E-2</v>
      </c>
      <c r="M585" s="183"/>
      <c r="N585" s="183">
        <f t="shared" si="70"/>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67"/>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1">
        <f>SUMIFS(Table1[Estimação (horas)],Table1[Tabela],Plano_V3!E586,Table1[Campo],Plano_V3!F586)</f>
        <v>0.1</v>
      </c>
      <c r="J586" s="181">
        <f t="shared" si="68"/>
        <v>1.2500000000000001E-2</v>
      </c>
      <c r="K586" s="181">
        <f>SUMIFS(Table1[Horas efetivas],Table1[Tabela],Plano_V3!E586,Table1[Campo],Plano_V3!F586)</f>
        <v>0.1</v>
      </c>
      <c r="L586" s="181">
        <f t="shared" si="69"/>
        <v>1.2500000000000001E-2</v>
      </c>
      <c r="M586" s="183"/>
      <c r="N586" s="183">
        <f t="shared" si="70"/>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67"/>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1">
        <f>SUMIFS(Table1[Estimação (horas)],Table1[Tabela],Plano_V3!E587,Table1[Campo],Plano_V3!F587)</f>
        <v>0.1</v>
      </c>
      <c r="J587" s="181">
        <f t="shared" si="68"/>
        <v>1.2500000000000001E-2</v>
      </c>
      <c r="K587" s="181">
        <f>SUMIFS(Table1[Horas efetivas],Table1[Tabela],Plano_V3!E587,Table1[Campo],Plano_V3!F587)</f>
        <v>0.1</v>
      </c>
      <c r="L587" s="181">
        <f t="shared" si="69"/>
        <v>1.2500000000000001E-2</v>
      </c>
      <c r="M587" s="183"/>
      <c r="N587" s="183">
        <f t="shared" si="70"/>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67"/>
        <v>lt004_protectionflg_fin</v>
      </c>
      <c r="B588" s="68"/>
      <c r="C588" s="69"/>
      <c r="D588" s="65" t="s">
        <v>40</v>
      </c>
      <c r="E588" s="71" t="s">
        <v>369</v>
      </c>
      <c r="F588" s="72" t="s">
        <v>481</v>
      </c>
      <c r="G588" s="65" t="str">
        <f>INDEX(Auxiliar!$B$16:$B$24,MATCH(Plano_V3!H588,Auxiliar!$C$16:$C$24,0),1)</f>
        <v>1. Concluído</v>
      </c>
      <c r="H588" s="65">
        <f>VLOOKUP(A588,'Aux - pivots1'!$A:$B,2,0)</f>
        <v>1</v>
      </c>
      <c r="I588" s="181">
        <f>SUMIFS(Table1[Estimação (horas)],Table1[Tabela],Plano_V3!E588,Table1[Campo],Plano_V3!F588)</f>
        <v>4.0999999999999996</v>
      </c>
      <c r="J588" s="181">
        <f t="shared" si="68"/>
        <v>0.51249999999999996</v>
      </c>
      <c r="K588" s="181">
        <f>SUMIFS(Table1[Horas efetivas],Table1[Tabela],Plano_V3!E588,Table1[Campo],Plano_V3!F588)</f>
        <v>4.0999999999999996</v>
      </c>
      <c r="L588" s="181">
        <f t="shared" si="69"/>
        <v>0.51249999999999996</v>
      </c>
      <c r="M588" s="183"/>
      <c r="N588" s="183">
        <f t="shared" si="70"/>
        <v>1</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67"/>
        <v>lt004_protectionflg_exec</v>
      </c>
      <c r="B589" s="68"/>
      <c r="C589" s="69"/>
      <c r="D589" s="65" t="s">
        <v>40</v>
      </c>
      <c r="E589" s="71" t="s">
        <v>369</v>
      </c>
      <c r="F589" s="72" t="s">
        <v>1355</v>
      </c>
      <c r="G589" s="65" t="str">
        <f>INDEX(Auxiliar!$B$16:$B$24,MATCH(Plano_V3!H589,Auxiliar!$C$16:$C$24,0),1)</f>
        <v>1. Concluído</v>
      </c>
      <c r="H589" s="65">
        <f>VLOOKUP(A589,'Aux - pivots1'!$A:$B,2,0)</f>
        <v>1</v>
      </c>
      <c r="I589" s="181">
        <f>SUMIFS(Table1[Estimação (horas)],Table1[Tabela],Plano_V3!E589,Table1[Campo],Plano_V3!F589)</f>
        <v>4.0999999999999996</v>
      </c>
      <c r="J589" s="181">
        <f t="shared" si="68"/>
        <v>0.51249999999999996</v>
      </c>
      <c r="K589" s="181">
        <f>SUMIFS(Table1[Horas efetivas],Table1[Tabela],Plano_V3!E589,Table1[Campo],Plano_V3!F589)</f>
        <v>4.0999999999999996</v>
      </c>
      <c r="L589" s="181">
        <f t="shared" si="69"/>
        <v>0.51249999999999996</v>
      </c>
      <c r="M589" s="183"/>
      <c r="N589" s="183">
        <f t="shared" si="70"/>
        <v>1</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67"/>
        <v>lt004_protectionflg_col</v>
      </c>
      <c r="B590" s="68"/>
      <c r="C590" s="69"/>
      <c r="D590" s="65" t="s">
        <v>40</v>
      </c>
      <c r="E590" s="71" t="s">
        <v>369</v>
      </c>
      <c r="F590" s="72" t="s">
        <v>480</v>
      </c>
      <c r="G590" s="65" t="str">
        <f>INDEX(Auxiliar!$B$16:$B$24,MATCH(Plano_V3!H590,Auxiliar!$C$16:$C$24,0),1)</f>
        <v>1. Concluído</v>
      </c>
      <c r="H590" s="65">
        <f>VLOOKUP(A590,'Aux - pivots1'!$A:$B,2,0)</f>
        <v>1</v>
      </c>
      <c r="I590" s="181">
        <f>SUMIFS(Table1[Estimação (horas)],Table1[Tabela],Plano_V3!E590,Table1[Campo],Plano_V3!F590)</f>
        <v>4.0999999999999996</v>
      </c>
      <c r="J590" s="181">
        <f>I590/8</f>
        <v>0.51249999999999996</v>
      </c>
      <c r="K590" s="181">
        <f>SUMIFS(Table1[Horas efetivas],Table1[Tabela],Plano_V3!E590,Table1[Campo],Plano_V3!F590)</f>
        <v>4.0999999999999996</v>
      </c>
      <c r="L590" s="181">
        <f>K590/8</f>
        <v>0.51249999999999996</v>
      </c>
      <c r="M590" s="183"/>
      <c r="N590" s="183">
        <f t="shared" si="70"/>
        <v>1</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67"/>
        <v>lt004_protectionflg_pro</v>
      </c>
      <c r="B591" s="68"/>
      <c r="C591" s="69"/>
      <c r="D591" s="65" t="s">
        <v>40</v>
      </c>
      <c r="E591" s="71" t="s">
        <v>369</v>
      </c>
      <c r="F591" s="72" t="s">
        <v>482</v>
      </c>
      <c r="G591" s="65" t="str">
        <f>INDEX(Auxiliar!$B$16:$B$24,MATCH(Plano_V3!H591,Auxiliar!$C$16:$C$24,0),1)</f>
        <v>1. Concluído</v>
      </c>
      <c r="H591" s="65">
        <f>VLOOKUP(A591,'Aux - pivots1'!$A:$B,2,0)</f>
        <v>1</v>
      </c>
      <c r="I591" s="181">
        <f>SUMIFS(Table1[Estimação (horas)],Table1[Tabela],Plano_V3!E591,Table1[Campo],Plano_V3!F591)</f>
        <v>4.0999999999999996</v>
      </c>
      <c r="J591" s="181">
        <f>I591/8</f>
        <v>0.51249999999999996</v>
      </c>
      <c r="K591" s="181">
        <f>SUMIFS(Table1[Horas efetivas],Table1[Tabela],Plano_V3!E591,Table1[Campo],Plano_V3!F591)</f>
        <v>4.0999999999999996</v>
      </c>
      <c r="L591" s="181">
        <f>K591/8</f>
        <v>0.51249999999999996</v>
      </c>
      <c r="M591" s="183"/>
      <c r="N591" s="183">
        <f t="shared" si="70"/>
        <v>1</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67"/>
        <v>Re-testesn.a.</v>
      </c>
      <c r="B592" s="68" t="s">
        <v>26</v>
      </c>
      <c r="C592" s="69" t="s">
        <v>26</v>
      </c>
      <c r="D592" s="65" t="s">
        <v>40</v>
      </c>
      <c r="E592" s="67" t="s">
        <v>53</v>
      </c>
      <c r="F592" s="65" t="s">
        <v>38</v>
      </c>
      <c r="G592" s="65" t="s">
        <v>28</v>
      </c>
      <c r="H592" s="65"/>
      <c r="I592" s="181">
        <f>SUM(I457:I587)*$D$7</f>
        <v>40.137500000000166</v>
      </c>
      <c r="J592" s="181">
        <f>I592/8</f>
        <v>5.0171875000000208</v>
      </c>
      <c r="K592" s="181">
        <f>SUM(K457:K587)*$D$7</f>
        <v>35.871875000000131</v>
      </c>
      <c r="L592" s="181">
        <f>K592/8</f>
        <v>4.4839843750000163</v>
      </c>
      <c r="M592" s="183"/>
      <c r="N592" s="183">
        <f t="shared" si="70"/>
        <v>0.89372469635627483</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5"/>
      <c r="J594" s="185">
        <f>J24+J19+J14</f>
        <v>314</v>
      </c>
      <c r="K594" s="185"/>
      <c r="L594" s="185">
        <f>L24+L19+L14</f>
        <v>286.85000000000002</v>
      </c>
      <c r="M594" s="180">
        <f>((M24*J24)+(M19*J19)+(M14*J14))/J594</f>
        <v>0.62261146496815289</v>
      </c>
      <c r="N594" s="180">
        <f>((N24*L24)+(N19*L19)+(N14*L14))/L594</f>
        <v>0.87913231138110071</v>
      </c>
      <c r="O594" s="180">
        <f>N594-M594</f>
        <v>0.25652084641294781</v>
      </c>
      <c r="P594" s="182" t="s">
        <v>25</v>
      </c>
    </row>
    <row r="595" spans="2:51">
      <c r="O595"/>
    </row>
    <row r="596" spans="2:51"/>
  </sheetData>
  <conditionalFormatting sqref="O14:O17 O19:O22 O594">
    <cfRule type="cellIs" dxfId="203" priority="23" operator="lessThan">
      <formula>0</formula>
    </cfRule>
    <cfRule type="cellIs" dxfId="202" priority="24" operator="greaterThanOrEqual">
      <formula>0</formula>
    </cfRule>
  </conditionalFormatting>
  <conditionalFormatting sqref="O24:O592">
    <cfRule type="cellIs" dxfId="201" priority="1" operator="lessThan">
      <formula>0</formula>
    </cfRule>
    <cfRule type="cellIs" dxfId="200" priority="2" operator="greaterThanOrEqual">
      <formula>0</formula>
    </cfRule>
  </conditionalFormatting>
  <conditionalFormatting sqref="Q15:Q17">
    <cfRule type="cellIs" dxfId="199" priority="50" operator="notEqual">
      <formula>0</formula>
    </cfRule>
  </conditionalFormatting>
  <conditionalFormatting sqref="Q20:Q22">
    <cfRule type="cellIs" dxfId="198" priority="42" operator="notEqual">
      <formula>0</formula>
    </cfRule>
  </conditionalFormatting>
  <conditionalFormatting sqref="Q25:Q456">
    <cfRule type="cellIs" dxfId="197" priority="5" operator="notEqual">
      <formula>0</formula>
    </cfRule>
  </conditionalFormatting>
  <conditionalFormatting sqref="R5:R6 S6:ES6">
    <cfRule type="cellIs" dxfId="196" priority="51" operator="notEqual">
      <formula>0</formula>
    </cfRule>
  </conditionalFormatting>
  <conditionalFormatting sqref="R15:ES17 R20:ES22 R25:ES25">
    <cfRule type="cellIs" dxfId="195" priority="49" operator="greaterThan">
      <formula>0</formula>
    </cfRule>
  </conditionalFormatting>
  <conditionalFormatting sqref="R40:ES40">
    <cfRule type="cellIs" dxfId="194" priority="47" operator="greaterThan">
      <formula>0</formula>
    </cfRule>
  </conditionalFormatting>
  <conditionalFormatting sqref="R204:ES204">
    <cfRule type="cellIs" dxfId="193" priority="46" operator="greaterThan">
      <formula>0</formula>
    </cfRule>
  </conditionalFormatting>
  <conditionalFormatting sqref="R371:ES371">
    <cfRule type="cellIs" dxfId="192" priority="45" operator="greaterThan">
      <formula>0</formula>
    </cfRule>
  </conditionalFormatting>
  <conditionalFormatting sqref="R456:ES456">
    <cfRule type="cellIs" dxfId="191"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669</v>
      </c>
      <c r="B3" t="s">
        <v>670</v>
      </c>
      <c r="C3" t="s">
        <v>671</v>
      </c>
      <c r="D3" t="s">
        <v>672</v>
      </c>
      <c r="E3" t="s">
        <v>673</v>
      </c>
    </row>
    <row r="4" spans="1:5">
      <c r="A4" t="s">
        <v>674</v>
      </c>
      <c r="B4" s="328">
        <v>5</v>
      </c>
      <c r="C4" s="174">
        <v>45510</v>
      </c>
      <c r="D4" s="174">
        <v>45624</v>
      </c>
      <c r="E4" s="328"/>
    </row>
    <row r="5" spans="1:5">
      <c r="A5" t="s">
        <v>675</v>
      </c>
      <c r="B5" s="328">
        <v>5</v>
      </c>
      <c r="C5" s="174">
        <v>45510</v>
      </c>
      <c r="D5" s="174">
        <v>45624</v>
      </c>
      <c r="E5" s="328"/>
    </row>
    <row r="6" spans="1:5">
      <c r="A6" t="s">
        <v>676</v>
      </c>
      <c r="B6" s="328">
        <v>5</v>
      </c>
      <c r="C6" s="174">
        <v>45510</v>
      </c>
      <c r="D6" s="174">
        <v>45624</v>
      </c>
      <c r="E6" s="328"/>
    </row>
    <row r="7" spans="1:5">
      <c r="A7" t="s">
        <v>677</v>
      </c>
      <c r="B7" s="328">
        <v>5</v>
      </c>
      <c r="C7" s="174">
        <v>45510</v>
      </c>
      <c r="D7" s="174">
        <v>45624</v>
      </c>
      <c r="E7" s="328"/>
    </row>
    <row r="8" spans="1:5">
      <c r="A8" t="s">
        <v>678</v>
      </c>
      <c r="B8" s="328">
        <v>5</v>
      </c>
      <c r="C8" s="174">
        <v>45510</v>
      </c>
      <c r="D8" s="174">
        <v>45624</v>
      </c>
      <c r="E8" s="328"/>
    </row>
    <row r="9" spans="1:5">
      <c r="A9" t="s">
        <v>679</v>
      </c>
      <c r="B9" s="328">
        <v>5</v>
      </c>
      <c r="C9" s="174">
        <v>45510</v>
      </c>
      <c r="D9" s="174">
        <v>45624</v>
      </c>
      <c r="E9" s="328"/>
    </row>
    <row r="10" spans="1:5">
      <c r="A10" t="s">
        <v>680</v>
      </c>
      <c r="B10" s="328">
        <v>5</v>
      </c>
      <c r="C10" s="174">
        <v>45510</v>
      </c>
      <c r="D10" s="174">
        <v>45624</v>
      </c>
      <c r="E10" s="328"/>
    </row>
    <row r="11" spans="1:5">
      <c r="A11" t="s">
        <v>681</v>
      </c>
      <c r="B11" s="328">
        <v>5</v>
      </c>
      <c r="C11" s="174">
        <v>45510</v>
      </c>
      <c r="D11" s="174">
        <v>45624</v>
      </c>
      <c r="E11" s="328"/>
    </row>
    <row r="12" spans="1:5">
      <c r="A12" t="s">
        <v>682</v>
      </c>
      <c r="B12" s="328">
        <v>5</v>
      </c>
      <c r="C12" s="174">
        <v>45510</v>
      </c>
      <c r="D12" s="174">
        <v>45624</v>
      </c>
      <c r="E12" s="328"/>
    </row>
    <row r="13" spans="1:5">
      <c r="A13" t="s">
        <v>683</v>
      </c>
      <c r="B13" s="328">
        <v>5</v>
      </c>
      <c r="C13" s="174">
        <v>45510</v>
      </c>
      <c r="D13" s="174">
        <v>45624</v>
      </c>
      <c r="E13" s="328"/>
    </row>
    <row r="14" spans="1:5">
      <c r="A14" t="s">
        <v>684</v>
      </c>
      <c r="B14" s="328">
        <v>5</v>
      </c>
      <c r="C14" s="174">
        <v>45510</v>
      </c>
      <c r="D14" s="174">
        <v>45624</v>
      </c>
      <c r="E14" s="328"/>
    </row>
    <row r="15" spans="1:5">
      <c r="A15" t="s">
        <v>685</v>
      </c>
      <c r="B15" s="328">
        <v>5</v>
      </c>
      <c r="C15" s="174">
        <v>45510</v>
      </c>
      <c r="D15" s="174">
        <v>45624</v>
      </c>
      <c r="E15" s="328"/>
    </row>
    <row r="16" spans="1:5">
      <c r="A16" t="s">
        <v>686</v>
      </c>
      <c r="B16" s="328">
        <v>5</v>
      </c>
      <c r="C16" s="174">
        <v>45510</v>
      </c>
      <c r="D16" s="174">
        <v>45624</v>
      </c>
      <c r="E16" s="328"/>
    </row>
    <row r="17" spans="1:5">
      <c r="A17" t="s">
        <v>687</v>
      </c>
      <c r="B17" s="328">
        <v>1</v>
      </c>
      <c r="C17" s="328"/>
      <c r="D17" s="328"/>
      <c r="E17" s="328"/>
    </row>
    <row r="18" spans="1:5">
      <c r="A18" t="s">
        <v>688</v>
      </c>
      <c r="B18" s="328">
        <v>1</v>
      </c>
      <c r="C18" s="328"/>
      <c r="D18" s="328"/>
      <c r="E18" s="328"/>
    </row>
    <row r="19" spans="1:5">
      <c r="A19" t="s">
        <v>689</v>
      </c>
      <c r="B19" s="328">
        <v>1</v>
      </c>
      <c r="C19" s="328"/>
      <c r="D19" s="328"/>
      <c r="E19" s="328"/>
    </row>
    <row r="20" spans="1:5">
      <c r="A20" t="s">
        <v>690</v>
      </c>
      <c r="B20" s="328">
        <v>1</v>
      </c>
      <c r="C20" s="328"/>
      <c r="D20" s="328"/>
      <c r="E20" s="328"/>
    </row>
    <row r="21" spans="1:5">
      <c r="A21" t="s">
        <v>691</v>
      </c>
      <c r="B21" s="328">
        <v>1</v>
      </c>
      <c r="C21" s="328"/>
      <c r="D21" s="328"/>
      <c r="E21" s="328"/>
    </row>
    <row r="22" spans="1:5">
      <c r="A22" t="s">
        <v>692</v>
      </c>
      <c r="B22" s="328">
        <v>1</v>
      </c>
      <c r="C22" s="328"/>
      <c r="D22" s="328"/>
      <c r="E22" s="328"/>
    </row>
    <row r="23" spans="1:5">
      <c r="A23" t="s">
        <v>693</v>
      </c>
      <c r="B23" s="328">
        <v>1</v>
      </c>
      <c r="C23" s="328"/>
      <c r="D23" s="328"/>
      <c r="E23" s="328"/>
    </row>
    <row r="24" spans="1:5">
      <c r="A24" t="s">
        <v>694</v>
      </c>
      <c r="B24" s="328">
        <v>1</v>
      </c>
      <c r="C24" s="328"/>
      <c r="D24" s="328"/>
      <c r="E24" s="328"/>
    </row>
    <row r="25" spans="1:5">
      <c r="A25" t="s">
        <v>695</v>
      </c>
      <c r="B25" s="328">
        <v>2</v>
      </c>
      <c r="C25" s="174">
        <v>45618</v>
      </c>
      <c r="D25" s="174">
        <v>45631</v>
      </c>
      <c r="E25" s="174">
        <v>45631</v>
      </c>
    </row>
    <row r="26" spans="1:5">
      <c r="A26" t="s">
        <v>696</v>
      </c>
      <c r="B26" s="328">
        <v>2</v>
      </c>
      <c r="C26" s="174">
        <v>45618</v>
      </c>
      <c r="D26" s="174">
        <v>45631</v>
      </c>
      <c r="E26" s="174">
        <v>45631</v>
      </c>
    </row>
    <row r="27" spans="1:5">
      <c r="A27" t="s">
        <v>697</v>
      </c>
      <c r="B27" s="328">
        <v>1</v>
      </c>
      <c r="C27" s="328"/>
      <c r="D27" s="174">
        <v>45631</v>
      </c>
      <c r="E27" s="174">
        <v>45631</v>
      </c>
    </row>
    <row r="28" spans="1:5">
      <c r="A28" t="s">
        <v>698</v>
      </c>
      <c r="B28" s="328">
        <v>2</v>
      </c>
      <c r="C28" s="174">
        <v>45618</v>
      </c>
      <c r="D28" s="174">
        <v>45631</v>
      </c>
      <c r="E28" s="174">
        <v>45631</v>
      </c>
    </row>
    <row r="29" spans="1:5">
      <c r="A29" t="s">
        <v>699</v>
      </c>
      <c r="B29" s="328">
        <v>1</v>
      </c>
      <c r="C29" s="328"/>
      <c r="D29" s="328"/>
      <c r="E29" s="328"/>
    </row>
    <row r="30" spans="1:5">
      <c r="A30" t="s">
        <v>700</v>
      </c>
      <c r="B30" s="328">
        <v>1</v>
      </c>
      <c r="C30" s="328"/>
      <c r="D30" s="328"/>
      <c r="E30" s="328"/>
    </row>
    <row r="31" spans="1:5">
      <c r="A31" t="s">
        <v>701</v>
      </c>
      <c r="B31" s="328">
        <v>1</v>
      </c>
      <c r="C31" s="328"/>
      <c r="D31" s="328"/>
      <c r="E31" s="328"/>
    </row>
    <row r="32" spans="1:5">
      <c r="A32" t="s">
        <v>702</v>
      </c>
      <c r="B32" s="328">
        <v>1</v>
      </c>
      <c r="C32" s="328"/>
      <c r="D32" s="328"/>
      <c r="E32" s="328"/>
    </row>
    <row r="33" spans="1:5">
      <c r="A33" t="s">
        <v>703</v>
      </c>
      <c r="B33" s="328">
        <v>1</v>
      </c>
      <c r="C33" s="328"/>
      <c r="D33" s="328"/>
      <c r="E33" s="328"/>
    </row>
    <row r="34" spans="1:5">
      <c r="A34" t="s">
        <v>704</v>
      </c>
      <c r="B34" s="328">
        <v>1</v>
      </c>
      <c r="C34" s="328"/>
      <c r="D34" s="328"/>
      <c r="E34" s="328"/>
    </row>
    <row r="35" spans="1:5">
      <c r="A35" t="s">
        <v>705</v>
      </c>
      <c r="B35" s="328">
        <v>1</v>
      </c>
      <c r="C35" s="174">
        <v>45583</v>
      </c>
      <c r="D35" s="174">
        <v>45589</v>
      </c>
      <c r="E35" s="174">
        <v>45589</v>
      </c>
    </row>
    <row r="36" spans="1:5">
      <c r="A36" t="s">
        <v>706</v>
      </c>
      <c r="B36" s="328">
        <v>4</v>
      </c>
      <c r="C36" s="328"/>
      <c r="D36" s="174">
        <v>45631</v>
      </c>
      <c r="E36" s="174">
        <v>45631</v>
      </c>
    </row>
    <row r="37" spans="1:5">
      <c r="A37" t="s">
        <v>707</v>
      </c>
      <c r="B37" s="328">
        <v>4</v>
      </c>
      <c r="C37" s="328"/>
      <c r="D37" s="174">
        <v>45631</v>
      </c>
      <c r="E37" s="174">
        <v>45631</v>
      </c>
    </row>
    <row r="38" spans="1:5">
      <c r="A38" t="s">
        <v>708</v>
      </c>
      <c r="B38" s="328">
        <v>4</v>
      </c>
      <c r="C38" s="328"/>
      <c r="D38" s="174">
        <v>45631</v>
      </c>
      <c r="E38" s="174">
        <v>45631</v>
      </c>
    </row>
    <row r="39" spans="1:5">
      <c r="A39" t="s">
        <v>709</v>
      </c>
      <c r="B39" s="328">
        <v>1</v>
      </c>
      <c r="C39" s="328"/>
      <c r="D39" s="328"/>
      <c r="E39" s="328"/>
    </row>
    <row r="40" spans="1:5">
      <c r="A40" t="s">
        <v>710</v>
      </c>
      <c r="B40" s="328">
        <v>1</v>
      </c>
      <c r="C40" s="328"/>
      <c r="D40" s="328"/>
      <c r="E40" s="328"/>
    </row>
    <row r="41" spans="1:5">
      <c r="A41" t="s">
        <v>711</v>
      </c>
      <c r="B41" s="328">
        <v>1</v>
      </c>
      <c r="C41" s="328"/>
      <c r="D41" s="328"/>
      <c r="E41" s="328"/>
    </row>
    <row r="42" spans="1:5">
      <c r="A42" t="s">
        <v>712</v>
      </c>
      <c r="B42" s="328">
        <v>5</v>
      </c>
      <c r="C42" s="174">
        <v>45595</v>
      </c>
      <c r="D42" s="174">
        <v>374342</v>
      </c>
      <c r="E42" s="174">
        <v>374342</v>
      </c>
    </row>
    <row r="43" spans="1:5">
      <c r="A43" t="s">
        <v>713</v>
      </c>
      <c r="B43" s="328">
        <v>1</v>
      </c>
      <c r="C43" s="174">
        <v>45595</v>
      </c>
      <c r="D43" s="174">
        <v>374329</v>
      </c>
      <c r="E43" s="174">
        <v>374329</v>
      </c>
    </row>
    <row r="44" spans="1:5">
      <c r="A44" t="s">
        <v>714</v>
      </c>
      <c r="B44" s="328">
        <v>1</v>
      </c>
      <c r="C44" s="174">
        <v>45593</v>
      </c>
      <c r="D44" s="174">
        <v>45611</v>
      </c>
      <c r="E44" s="174">
        <v>374329</v>
      </c>
    </row>
    <row r="45" spans="1:5">
      <c r="A45" t="s">
        <v>715</v>
      </c>
      <c r="B45" s="328">
        <v>1</v>
      </c>
      <c r="C45" s="328"/>
      <c r="D45" s="328"/>
      <c r="E45" s="328"/>
    </row>
    <row r="46" spans="1:5">
      <c r="A46" t="s">
        <v>716</v>
      </c>
      <c r="B46" s="328">
        <v>1</v>
      </c>
      <c r="C46" s="328"/>
      <c r="D46" s="328"/>
      <c r="E46" s="328"/>
    </row>
    <row r="47" spans="1:5">
      <c r="A47" t="s">
        <v>717</v>
      </c>
      <c r="B47" s="328">
        <v>1</v>
      </c>
      <c r="C47" s="328"/>
      <c r="D47" s="328"/>
      <c r="E47" s="328"/>
    </row>
    <row r="48" spans="1:5">
      <c r="A48" t="s">
        <v>718</v>
      </c>
      <c r="B48" s="328">
        <v>4</v>
      </c>
      <c r="C48" s="328"/>
      <c r="D48" s="174">
        <v>45621</v>
      </c>
      <c r="E48" s="174">
        <v>45596</v>
      </c>
    </row>
    <row r="49" spans="1:5">
      <c r="A49" t="s">
        <v>719</v>
      </c>
      <c r="B49" s="328">
        <v>4</v>
      </c>
      <c r="C49" s="328"/>
      <c r="D49" s="174">
        <v>45621</v>
      </c>
      <c r="E49" s="174">
        <v>45596</v>
      </c>
    </row>
    <row r="50" spans="1:5">
      <c r="A50" t="s">
        <v>720</v>
      </c>
      <c r="B50" s="328">
        <v>4</v>
      </c>
      <c r="C50" s="328"/>
      <c r="D50" s="174">
        <v>45621</v>
      </c>
      <c r="E50" s="174">
        <v>45596</v>
      </c>
    </row>
    <row r="51" spans="1:5">
      <c r="A51" t="s">
        <v>721</v>
      </c>
      <c r="B51" s="328">
        <v>1</v>
      </c>
      <c r="C51" s="328"/>
      <c r="D51" s="328"/>
      <c r="E51" s="328"/>
    </row>
    <row r="52" spans="1:5">
      <c r="A52" t="s">
        <v>722</v>
      </c>
      <c r="B52" s="328">
        <v>1</v>
      </c>
      <c r="C52" s="328"/>
      <c r="D52" s="328"/>
      <c r="E52" s="328"/>
    </row>
    <row r="53" spans="1:5">
      <c r="A53" t="s">
        <v>723</v>
      </c>
      <c r="B53" s="328">
        <v>1</v>
      </c>
      <c r="C53" s="328"/>
      <c r="D53" s="328"/>
      <c r="E53" s="328"/>
    </row>
    <row r="54" spans="1:5">
      <c r="A54" t="s">
        <v>724</v>
      </c>
      <c r="B54" s="328">
        <v>1</v>
      </c>
      <c r="C54" s="328"/>
      <c r="D54" s="328"/>
      <c r="E54" s="328"/>
    </row>
    <row r="55" spans="1:5">
      <c r="A55" t="s">
        <v>725</v>
      </c>
      <c r="B55" s="328">
        <v>1</v>
      </c>
      <c r="C55" s="328"/>
      <c r="D55" s="174">
        <v>45614</v>
      </c>
      <c r="E55" s="174">
        <v>45596</v>
      </c>
    </row>
    <row r="56" spans="1:5">
      <c r="A56" t="s">
        <v>726</v>
      </c>
      <c r="B56" s="328">
        <v>1</v>
      </c>
      <c r="C56" s="328"/>
      <c r="D56" s="174">
        <v>45614</v>
      </c>
      <c r="E56" s="174">
        <v>45596</v>
      </c>
    </row>
    <row r="57" spans="1:5">
      <c r="A57" t="s">
        <v>727</v>
      </c>
      <c r="B57" s="328">
        <v>1</v>
      </c>
      <c r="C57" s="328"/>
      <c r="D57" s="174">
        <v>45614</v>
      </c>
      <c r="E57" s="174">
        <v>45596</v>
      </c>
    </row>
    <row r="58" spans="1:5">
      <c r="A58" t="s">
        <v>728</v>
      </c>
      <c r="B58" s="328">
        <v>1</v>
      </c>
      <c r="C58" s="328"/>
      <c r="D58" s="174">
        <v>45614</v>
      </c>
      <c r="E58" s="174">
        <v>45596</v>
      </c>
    </row>
    <row r="59" spans="1:5">
      <c r="A59" t="s">
        <v>729</v>
      </c>
      <c r="B59" s="328">
        <v>1</v>
      </c>
      <c r="C59" s="328"/>
      <c r="D59" s="328"/>
      <c r="E59" s="328"/>
    </row>
    <row r="60" spans="1:5">
      <c r="A60" t="s">
        <v>730</v>
      </c>
      <c r="B60" s="328">
        <v>1</v>
      </c>
      <c r="C60" s="328"/>
      <c r="D60" s="328"/>
      <c r="E60" s="328"/>
    </row>
    <row r="61" spans="1:5">
      <c r="A61" t="s">
        <v>731</v>
      </c>
      <c r="B61" s="328">
        <v>1</v>
      </c>
      <c r="C61" s="174">
        <v>45583</v>
      </c>
      <c r="D61" s="174">
        <v>45611</v>
      </c>
      <c r="E61" s="174">
        <v>45644</v>
      </c>
    </row>
    <row r="62" spans="1:5">
      <c r="A62" t="s">
        <v>732</v>
      </c>
      <c r="B62" s="328">
        <v>1</v>
      </c>
      <c r="C62" s="174">
        <v>45589</v>
      </c>
      <c r="D62" s="328"/>
      <c r="E62" s="174">
        <v>45596</v>
      </c>
    </row>
    <row r="63" spans="1:5">
      <c r="A63" t="s">
        <v>733</v>
      </c>
      <c r="B63" s="328">
        <v>1</v>
      </c>
      <c r="C63" s="174">
        <v>45589</v>
      </c>
      <c r="D63" s="328"/>
      <c r="E63" s="174">
        <v>45596</v>
      </c>
    </row>
    <row r="64" spans="1:5">
      <c r="A64" t="s">
        <v>734</v>
      </c>
      <c r="B64" s="328">
        <v>1</v>
      </c>
      <c r="C64" s="328"/>
      <c r="D64" s="174">
        <v>45614</v>
      </c>
      <c r="E64" s="174">
        <v>45596</v>
      </c>
    </row>
    <row r="65" spans="1:5">
      <c r="A65" t="s">
        <v>735</v>
      </c>
      <c r="B65" s="328">
        <v>1</v>
      </c>
      <c r="C65" s="174">
        <v>45589</v>
      </c>
      <c r="D65" s="328"/>
      <c r="E65" s="174">
        <v>45596</v>
      </c>
    </row>
    <row r="66" spans="1:5">
      <c r="A66" t="s">
        <v>736</v>
      </c>
      <c r="B66" s="328">
        <v>1</v>
      </c>
      <c r="C66" s="174">
        <v>45589</v>
      </c>
      <c r="D66" s="174">
        <v>45611</v>
      </c>
      <c r="E66" s="174">
        <v>45611</v>
      </c>
    </row>
    <row r="67" spans="1:5">
      <c r="A67" t="s">
        <v>737</v>
      </c>
      <c r="B67" s="328">
        <v>1</v>
      </c>
      <c r="C67" s="174">
        <v>45593</v>
      </c>
      <c r="D67" s="174">
        <v>45611</v>
      </c>
      <c r="E67" s="174">
        <v>45611</v>
      </c>
    </row>
    <row r="68" spans="1:5">
      <c r="A68" t="s">
        <v>738</v>
      </c>
      <c r="B68" s="328">
        <v>4</v>
      </c>
      <c r="C68" s="174">
        <v>45589</v>
      </c>
      <c r="D68" s="328"/>
      <c r="E68" s="174">
        <v>45644</v>
      </c>
    </row>
    <row r="69" spans="1:5">
      <c r="A69" t="s">
        <v>739</v>
      </c>
      <c r="B69" s="328">
        <v>4</v>
      </c>
      <c r="C69" s="174">
        <v>45589</v>
      </c>
      <c r="D69" s="328"/>
      <c r="E69" s="174">
        <v>45644</v>
      </c>
    </row>
    <row r="70" spans="1:5">
      <c r="A70" t="s">
        <v>740</v>
      </c>
      <c r="B70" s="328">
        <v>4</v>
      </c>
      <c r="C70" s="174">
        <v>45589</v>
      </c>
      <c r="D70" s="328"/>
      <c r="E70" s="174">
        <v>45644</v>
      </c>
    </row>
    <row r="71" spans="1:5">
      <c r="A71" t="s">
        <v>741</v>
      </c>
      <c r="B71" s="328">
        <v>1</v>
      </c>
      <c r="C71" s="328"/>
      <c r="D71" s="328"/>
      <c r="E71" s="328"/>
    </row>
    <row r="72" spans="1:5">
      <c r="A72" t="s">
        <v>742</v>
      </c>
      <c r="B72" s="328">
        <v>1</v>
      </c>
      <c r="C72" s="328"/>
      <c r="D72" s="328"/>
      <c r="E72" s="328"/>
    </row>
    <row r="73" spans="1:5">
      <c r="A73" t="s">
        <v>743</v>
      </c>
      <c r="B73" s="328">
        <v>1</v>
      </c>
      <c r="C73" s="174">
        <v>45593</v>
      </c>
      <c r="D73" s="174">
        <v>45611</v>
      </c>
      <c r="E73" s="174">
        <v>45644</v>
      </c>
    </row>
    <row r="74" spans="1:5">
      <c r="A74" t="s">
        <v>744</v>
      </c>
      <c r="B74" s="328">
        <v>1</v>
      </c>
      <c r="C74" s="174">
        <v>45589</v>
      </c>
      <c r="D74" s="328"/>
      <c r="E74" s="174">
        <v>45611</v>
      </c>
    </row>
    <row r="75" spans="1:5">
      <c r="A75" t="s">
        <v>745</v>
      </c>
      <c r="B75" s="328">
        <v>1</v>
      </c>
      <c r="C75" s="328"/>
      <c r="D75" s="328"/>
      <c r="E75" s="328"/>
    </row>
    <row r="76" spans="1:5">
      <c r="A76" t="s">
        <v>746</v>
      </c>
      <c r="B76" s="328">
        <v>4</v>
      </c>
      <c r="C76" s="174">
        <v>45583</v>
      </c>
      <c r="D76" s="328"/>
      <c r="E76" s="174">
        <v>45596</v>
      </c>
    </row>
    <row r="77" spans="1:5">
      <c r="A77" t="s">
        <v>747</v>
      </c>
      <c r="B77" s="328">
        <v>1</v>
      </c>
      <c r="C77" s="174">
        <v>45589</v>
      </c>
      <c r="D77" s="174">
        <v>45596</v>
      </c>
      <c r="E77" s="174">
        <v>45596</v>
      </c>
    </row>
    <row r="78" spans="1:5">
      <c r="A78" t="s">
        <v>748</v>
      </c>
      <c r="B78" s="328">
        <v>1</v>
      </c>
      <c r="C78" s="328"/>
      <c r="D78" s="174">
        <v>45611</v>
      </c>
      <c r="E78" s="174">
        <v>45611</v>
      </c>
    </row>
    <row r="79" spans="1:5">
      <c r="A79" t="s">
        <v>749</v>
      </c>
      <c r="B79" s="328">
        <v>1</v>
      </c>
      <c r="C79" s="328"/>
      <c r="D79" s="174">
        <v>45614</v>
      </c>
      <c r="E79" s="174">
        <v>45596</v>
      </c>
    </row>
    <row r="80" spans="1:5">
      <c r="A80" t="s">
        <v>750</v>
      </c>
      <c r="B80" s="328">
        <v>1</v>
      </c>
      <c r="C80" s="328"/>
      <c r="D80" s="174">
        <v>45614</v>
      </c>
      <c r="E80" s="174">
        <v>45596</v>
      </c>
    </row>
    <row r="81" spans="1:5">
      <c r="A81" t="s">
        <v>751</v>
      </c>
      <c r="B81" s="328">
        <v>1</v>
      </c>
      <c r="C81" s="328"/>
      <c r="D81" s="174">
        <v>45614</v>
      </c>
      <c r="E81" s="174">
        <v>45596</v>
      </c>
    </row>
    <row r="82" spans="1:5">
      <c r="A82" t="s">
        <v>752</v>
      </c>
      <c r="B82" s="328">
        <v>1</v>
      </c>
      <c r="C82" s="328"/>
      <c r="D82" s="174">
        <v>45614</v>
      </c>
      <c r="E82" s="174">
        <v>45596</v>
      </c>
    </row>
    <row r="83" spans="1:5">
      <c r="A83" t="s">
        <v>753</v>
      </c>
      <c r="B83" s="328">
        <v>1</v>
      </c>
      <c r="C83" s="328"/>
      <c r="D83" s="174">
        <v>45614</v>
      </c>
      <c r="E83" s="174">
        <v>45596</v>
      </c>
    </row>
    <row r="84" spans="1:5">
      <c r="A84" t="s">
        <v>754</v>
      </c>
      <c r="B84" s="328">
        <v>1</v>
      </c>
      <c r="C84" s="328"/>
      <c r="D84" s="328"/>
      <c r="E84" s="328"/>
    </row>
    <row r="85" spans="1:5">
      <c r="A85" t="s">
        <v>755</v>
      </c>
      <c r="B85" s="328">
        <v>1</v>
      </c>
      <c r="C85" s="174">
        <v>45593</v>
      </c>
      <c r="D85" s="174">
        <v>45624</v>
      </c>
      <c r="E85" s="174">
        <v>45644</v>
      </c>
    </row>
    <row r="86" spans="1:5">
      <c r="A86" t="s">
        <v>756</v>
      </c>
      <c r="B86" s="328">
        <v>1</v>
      </c>
      <c r="C86" s="328"/>
      <c r="D86" s="174">
        <v>45614</v>
      </c>
      <c r="E86" s="174">
        <v>45596</v>
      </c>
    </row>
    <row r="87" spans="1:5">
      <c r="A87" t="s">
        <v>757</v>
      </c>
      <c r="B87" s="328">
        <v>1</v>
      </c>
      <c r="C87" s="174">
        <v>45583</v>
      </c>
      <c r="D87" s="174">
        <v>45614</v>
      </c>
      <c r="E87" s="174">
        <v>45596</v>
      </c>
    </row>
    <row r="88" spans="1:5">
      <c r="A88" t="s">
        <v>758</v>
      </c>
      <c r="B88" s="328">
        <v>1</v>
      </c>
      <c r="C88" s="328"/>
      <c r="D88" s="174">
        <v>45614</v>
      </c>
      <c r="E88" s="174">
        <v>45596</v>
      </c>
    </row>
    <row r="89" spans="1:5">
      <c r="A89" t="s">
        <v>759</v>
      </c>
      <c r="B89" s="328">
        <v>1</v>
      </c>
      <c r="C89" s="328"/>
      <c r="D89" s="174">
        <v>45614</v>
      </c>
      <c r="E89" s="174">
        <v>45596</v>
      </c>
    </row>
    <row r="90" spans="1:5">
      <c r="A90" t="s">
        <v>760</v>
      </c>
      <c r="B90" s="328">
        <v>1</v>
      </c>
      <c r="C90" s="328"/>
      <c r="D90" s="328"/>
      <c r="E90" s="328"/>
    </row>
    <row r="91" spans="1:5">
      <c r="A91" t="s">
        <v>761</v>
      </c>
      <c r="B91" s="328">
        <v>1</v>
      </c>
      <c r="C91" s="328"/>
      <c r="D91" s="328"/>
      <c r="E91" s="328"/>
    </row>
    <row r="92" spans="1:5">
      <c r="A92" t="s">
        <v>762</v>
      </c>
      <c r="B92" s="328">
        <v>1</v>
      </c>
      <c r="C92" s="328"/>
      <c r="D92" s="174">
        <v>45631</v>
      </c>
      <c r="E92" s="174">
        <v>45631</v>
      </c>
    </row>
    <row r="93" spans="1:5">
      <c r="A93" t="s">
        <v>763</v>
      </c>
      <c r="B93" s="328">
        <v>1</v>
      </c>
      <c r="C93" s="328"/>
      <c r="D93" s="174">
        <v>45631</v>
      </c>
      <c r="E93" s="174">
        <v>45631</v>
      </c>
    </row>
    <row r="94" spans="1:5">
      <c r="A94" t="s">
        <v>764</v>
      </c>
      <c r="B94" s="328">
        <v>1</v>
      </c>
      <c r="C94" s="328"/>
      <c r="D94" s="174">
        <v>45631</v>
      </c>
      <c r="E94" s="174">
        <v>45631</v>
      </c>
    </row>
    <row r="95" spans="1:5">
      <c r="A95" t="s">
        <v>765</v>
      </c>
      <c r="B95" s="328">
        <v>1</v>
      </c>
      <c r="C95" s="174">
        <v>45583</v>
      </c>
      <c r="D95" s="174">
        <v>45596</v>
      </c>
      <c r="E95" s="174">
        <v>45596</v>
      </c>
    </row>
    <row r="96" spans="1:5">
      <c r="A96" t="s">
        <v>766</v>
      </c>
      <c r="B96" s="328">
        <v>1</v>
      </c>
      <c r="C96" s="174">
        <v>45583</v>
      </c>
      <c r="D96" s="174">
        <v>45596</v>
      </c>
      <c r="E96" s="174">
        <v>45596</v>
      </c>
    </row>
    <row r="97" spans="1:5">
      <c r="A97" t="s">
        <v>767</v>
      </c>
      <c r="B97" s="328">
        <v>1</v>
      </c>
      <c r="C97" s="174">
        <v>45583</v>
      </c>
      <c r="D97" s="174">
        <v>45596</v>
      </c>
      <c r="E97" s="174">
        <v>45596</v>
      </c>
    </row>
    <row r="98" spans="1:5">
      <c r="A98" t="s">
        <v>768</v>
      </c>
      <c r="B98" s="328">
        <v>1</v>
      </c>
      <c r="C98" s="174">
        <v>45583</v>
      </c>
      <c r="D98" s="174">
        <v>45596</v>
      </c>
      <c r="E98" s="174">
        <v>45596</v>
      </c>
    </row>
    <row r="99" spans="1:5">
      <c r="A99" t="s">
        <v>769</v>
      </c>
      <c r="B99" s="328">
        <v>1</v>
      </c>
      <c r="C99" s="174">
        <v>45593</v>
      </c>
      <c r="D99" s="174">
        <v>45624</v>
      </c>
      <c r="E99" s="174">
        <v>45624</v>
      </c>
    </row>
    <row r="100" spans="1:5">
      <c r="A100" t="s">
        <v>770</v>
      </c>
      <c r="B100" s="328">
        <v>1</v>
      </c>
      <c r="C100" s="174">
        <v>45593</v>
      </c>
      <c r="D100" s="174">
        <v>45624</v>
      </c>
      <c r="E100" s="174">
        <v>45624</v>
      </c>
    </row>
    <row r="101" spans="1:5">
      <c r="A101" t="s">
        <v>771</v>
      </c>
      <c r="B101" s="328">
        <v>1</v>
      </c>
      <c r="C101" s="174">
        <v>45593</v>
      </c>
      <c r="D101" s="174">
        <v>45624</v>
      </c>
      <c r="E101" s="174">
        <v>45624</v>
      </c>
    </row>
    <row r="102" spans="1:5">
      <c r="A102" t="s">
        <v>772</v>
      </c>
      <c r="B102" s="328">
        <v>1</v>
      </c>
      <c r="C102" s="174">
        <v>45593</v>
      </c>
      <c r="D102" s="174">
        <v>45624</v>
      </c>
      <c r="E102" s="174">
        <v>45624</v>
      </c>
    </row>
    <row r="103" spans="1:5">
      <c r="A103" t="s">
        <v>773</v>
      </c>
      <c r="B103" s="328">
        <v>1</v>
      </c>
      <c r="C103" s="328"/>
      <c r="D103" s="174">
        <v>45631</v>
      </c>
      <c r="E103" s="174">
        <v>45631</v>
      </c>
    </row>
    <row r="104" spans="1:5">
      <c r="A104" t="s">
        <v>774</v>
      </c>
      <c r="B104" s="328">
        <v>1</v>
      </c>
      <c r="C104" s="328"/>
      <c r="D104" s="174">
        <v>45631</v>
      </c>
      <c r="E104" s="174">
        <v>45631</v>
      </c>
    </row>
    <row r="105" spans="1:5">
      <c r="A105" t="s">
        <v>775</v>
      </c>
      <c r="B105" s="328">
        <v>1</v>
      </c>
      <c r="C105" s="328"/>
      <c r="D105" s="174">
        <v>45631</v>
      </c>
      <c r="E105" s="174">
        <v>45631</v>
      </c>
    </row>
    <row r="106" spans="1:5">
      <c r="A106" t="s">
        <v>776</v>
      </c>
      <c r="B106" s="328">
        <v>6</v>
      </c>
      <c r="C106" s="174">
        <v>45595</v>
      </c>
      <c r="D106" s="174">
        <v>45611</v>
      </c>
      <c r="E106" s="174">
        <v>45611</v>
      </c>
    </row>
    <row r="107" spans="1:5">
      <c r="A107" t="s">
        <v>777</v>
      </c>
      <c r="B107" s="328">
        <v>1</v>
      </c>
      <c r="C107" s="174">
        <v>45589</v>
      </c>
      <c r="D107" s="174">
        <v>45611</v>
      </c>
      <c r="E107" s="174">
        <v>45611</v>
      </c>
    </row>
    <row r="108" spans="1:5">
      <c r="A108" t="s">
        <v>778</v>
      </c>
      <c r="B108" s="328">
        <v>1</v>
      </c>
      <c r="C108" s="174">
        <v>45589</v>
      </c>
      <c r="D108" s="174">
        <v>45624</v>
      </c>
      <c r="E108" s="174">
        <v>45624</v>
      </c>
    </row>
    <row r="109" spans="1:5">
      <c r="A109" t="s">
        <v>779</v>
      </c>
      <c r="B109" s="328">
        <v>1</v>
      </c>
      <c r="C109" s="174">
        <v>45589</v>
      </c>
      <c r="D109" s="174">
        <v>45611</v>
      </c>
      <c r="E109" s="174">
        <v>45611</v>
      </c>
    </row>
    <row r="110" spans="1:5">
      <c r="A110" t="s">
        <v>780</v>
      </c>
      <c r="B110" s="328">
        <v>1</v>
      </c>
      <c r="C110" s="174">
        <v>45589</v>
      </c>
      <c r="D110" s="174">
        <v>45611</v>
      </c>
      <c r="E110" s="174">
        <v>45611</v>
      </c>
    </row>
    <row r="111" spans="1:5">
      <c r="A111" t="s">
        <v>781</v>
      </c>
      <c r="B111" s="328">
        <v>1</v>
      </c>
      <c r="C111" s="174">
        <v>45583</v>
      </c>
      <c r="D111" s="174">
        <v>45611</v>
      </c>
      <c r="E111" s="174">
        <v>45611</v>
      </c>
    </row>
    <row r="112" spans="1:5">
      <c r="A112" t="s">
        <v>782</v>
      </c>
      <c r="B112" s="328">
        <v>1</v>
      </c>
      <c r="C112" s="174">
        <v>45583</v>
      </c>
      <c r="D112" s="174">
        <v>45596</v>
      </c>
      <c r="E112" s="174">
        <v>45596</v>
      </c>
    </row>
    <row r="113" spans="1:5">
      <c r="A113" t="s">
        <v>783</v>
      </c>
      <c r="B113" s="328">
        <v>1</v>
      </c>
      <c r="C113" s="174">
        <v>45588</v>
      </c>
      <c r="D113" s="174">
        <v>45624</v>
      </c>
      <c r="E113" s="174">
        <v>45624</v>
      </c>
    </row>
    <row r="114" spans="1:5">
      <c r="A114" t="s">
        <v>784</v>
      </c>
      <c r="B114" s="328">
        <v>1</v>
      </c>
      <c r="C114" s="328"/>
      <c r="D114" s="328"/>
      <c r="E114" s="328"/>
    </row>
    <row r="115" spans="1:5">
      <c r="A115" t="s">
        <v>785</v>
      </c>
      <c r="B115" s="328">
        <v>1</v>
      </c>
      <c r="C115" s="328"/>
      <c r="D115" s="328"/>
      <c r="E115" s="328"/>
    </row>
    <row r="116" spans="1:5">
      <c r="A116" t="s">
        <v>786</v>
      </c>
      <c r="B116" s="328">
        <v>1</v>
      </c>
      <c r="C116" s="328"/>
      <c r="D116" s="328"/>
      <c r="E116" s="328"/>
    </row>
    <row r="117" spans="1:5">
      <c r="A117" t="s">
        <v>787</v>
      </c>
      <c r="B117" s="328">
        <v>1</v>
      </c>
      <c r="C117" s="328"/>
      <c r="D117" s="328"/>
      <c r="E117" s="328"/>
    </row>
    <row r="118" spans="1:5">
      <c r="A118" t="s">
        <v>788</v>
      </c>
      <c r="B118" s="328">
        <v>1</v>
      </c>
      <c r="C118" s="328"/>
      <c r="D118" s="328"/>
      <c r="E118" s="328"/>
    </row>
    <row r="119" spans="1:5">
      <c r="A119" t="s">
        <v>789</v>
      </c>
      <c r="B119" s="328">
        <v>1</v>
      </c>
      <c r="C119" s="328"/>
      <c r="D119" s="328"/>
      <c r="E119" s="328"/>
    </row>
    <row r="120" spans="1:5">
      <c r="A120" t="s">
        <v>790</v>
      </c>
      <c r="B120" s="328">
        <v>1</v>
      </c>
      <c r="C120" s="328"/>
      <c r="D120" s="328"/>
      <c r="E120" s="328"/>
    </row>
    <row r="121" spans="1:5">
      <c r="A121" t="s">
        <v>791</v>
      </c>
      <c r="B121" s="328">
        <v>1</v>
      </c>
      <c r="C121" s="328"/>
      <c r="D121" s="328"/>
      <c r="E121" s="328"/>
    </row>
    <row r="122" spans="1:5">
      <c r="A122" t="s">
        <v>792</v>
      </c>
      <c r="B122" s="328">
        <v>1</v>
      </c>
      <c r="C122" s="328"/>
      <c r="D122" s="328"/>
      <c r="E122" s="328"/>
    </row>
    <row r="123" spans="1:5">
      <c r="A123" t="s">
        <v>793</v>
      </c>
      <c r="B123" s="328">
        <v>1</v>
      </c>
      <c r="C123" s="328"/>
      <c r="D123" s="328"/>
      <c r="E123" s="328"/>
    </row>
    <row r="124" spans="1:5">
      <c r="A124" t="s">
        <v>1973</v>
      </c>
      <c r="B124" s="328">
        <v>1</v>
      </c>
      <c r="C124" s="174">
        <v>45593</v>
      </c>
      <c r="D124" s="174">
        <v>45624</v>
      </c>
      <c r="E124" s="174">
        <v>45624</v>
      </c>
    </row>
    <row r="125" spans="1:5">
      <c r="A125" t="s">
        <v>1974</v>
      </c>
      <c r="B125" s="328">
        <v>5</v>
      </c>
      <c r="C125" s="174">
        <v>45593</v>
      </c>
      <c r="D125" s="174">
        <v>45624</v>
      </c>
      <c r="E125" s="174">
        <v>45624</v>
      </c>
    </row>
    <row r="126" spans="1:5">
      <c r="A126" t="s">
        <v>1975</v>
      </c>
      <c r="B126" s="328">
        <v>1</v>
      </c>
      <c r="C126" s="328"/>
      <c r="D126" s="174">
        <v>45624</v>
      </c>
      <c r="E126" s="174">
        <v>45624</v>
      </c>
    </row>
    <row r="127" spans="1:5">
      <c r="A127" t="s">
        <v>1976</v>
      </c>
      <c r="B127" s="328">
        <v>1</v>
      </c>
      <c r="C127" s="174">
        <v>45593</v>
      </c>
      <c r="D127" s="174">
        <v>45624</v>
      </c>
      <c r="E127" s="174">
        <v>45624</v>
      </c>
    </row>
    <row r="128" spans="1:5">
      <c r="A128" t="s">
        <v>794</v>
      </c>
      <c r="B128" s="328">
        <v>1</v>
      </c>
      <c r="C128" s="328"/>
      <c r="D128" s="328"/>
      <c r="E128" s="328"/>
    </row>
    <row r="129" spans="1:5">
      <c r="A129" t="s">
        <v>795</v>
      </c>
      <c r="B129" s="328">
        <v>1</v>
      </c>
      <c r="C129" s="328"/>
      <c r="D129" s="328"/>
      <c r="E129" s="328"/>
    </row>
    <row r="130" spans="1:5">
      <c r="A130" t="s">
        <v>796</v>
      </c>
      <c r="B130" s="328">
        <v>1</v>
      </c>
      <c r="C130" s="328"/>
      <c r="D130" s="328"/>
      <c r="E130" s="328"/>
    </row>
    <row r="131" spans="1:5">
      <c r="A131" t="s">
        <v>797</v>
      </c>
      <c r="B131" s="328">
        <v>1</v>
      </c>
      <c r="C131" s="328"/>
      <c r="D131" s="328"/>
      <c r="E131" s="328"/>
    </row>
    <row r="132" spans="1:5">
      <c r="A132" t="s">
        <v>798</v>
      </c>
      <c r="B132" s="328">
        <v>1</v>
      </c>
      <c r="C132" s="328"/>
      <c r="D132" s="328"/>
      <c r="E132" s="328"/>
    </row>
    <row r="133" spans="1:5">
      <c r="A133" t="s">
        <v>799</v>
      </c>
      <c r="B133" s="328">
        <v>1</v>
      </c>
      <c r="C133" s="328"/>
      <c r="D133" s="328"/>
      <c r="E133" s="328"/>
    </row>
    <row r="134" spans="1:5">
      <c r="A134" t="s">
        <v>800</v>
      </c>
      <c r="B134" s="328">
        <v>1</v>
      </c>
      <c r="C134" s="328"/>
      <c r="D134" s="328"/>
      <c r="E134" s="328"/>
    </row>
    <row r="135" spans="1:5">
      <c r="A135" t="s">
        <v>801</v>
      </c>
      <c r="B135" s="328">
        <v>1</v>
      </c>
      <c r="C135" s="328"/>
      <c r="D135" s="328"/>
      <c r="E135" s="328"/>
    </row>
    <row r="136" spans="1:5">
      <c r="A136" t="s">
        <v>802</v>
      </c>
      <c r="B136" s="328">
        <v>1</v>
      </c>
      <c r="C136" s="328"/>
      <c r="D136" s="328"/>
      <c r="E136" s="328"/>
    </row>
    <row r="137" spans="1:5">
      <c r="A137" t="s">
        <v>1977</v>
      </c>
      <c r="B137" s="328">
        <v>1</v>
      </c>
      <c r="C137" s="174">
        <v>45593</v>
      </c>
      <c r="D137" s="174">
        <v>45611</v>
      </c>
      <c r="E137" s="174">
        <v>45611</v>
      </c>
    </row>
    <row r="138" spans="1:5">
      <c r="A138" t="s">
        <v>1978</v>
      </c>
      <c r="B138" s="328">
        <v>1</v>
      </c>
      <c r="C138" s="328"/>
      <c r="D138" s="174">
        <v>45611</v>
      </c>
      <c r="E138" s="174">
        <v>45611</v>
      </c>
    </row>
    <row r="139" spans="1:5">
      <c r="A139" t="s">
        <v>1979</v>
      </c>
      <c r="B139" s="328">
        <v>1</v>
      </c>
      <c r="C139" s="328"/>
      <c r="D139" s="174">
        <v>45611</v>
      </c>
      <c r="E139" s="174">
        <v>45611</v>
      </c>
    </row>
    <row r="140" spans="1:5">
      <c r="A140" t="s">
        <v>1980</v>
      </c>
      <c r="B140" s="328">
        <v>1</v>
      </c>
      <c r="C140" s="328"/>
      <c r="D140" s="174">
        <v>45611</v>
      </c>
      <c r="E140" s="174">
        <v>45611</v>
      </c>
    </row>
    <row r="141" spans="1:5">
      <c r="A141" t="s">
        <v>1981</v>
      </c>
      <c r="B141" s="328">
        <v>1</v>
      </c>
      <c r="C141" s="328"/>
      <c r="D141" s="174">
        <v>45611</v>
      </c>
      <c r="E141" s="174">
        <v>45611</v>
      </c>
    </row>
    <row r="142" spans="1:5">
      <c r="A142" t="s">
        <v>1982</v>
      </c>
      <c r="B142" s="328">
        <v>1</v>
      </c>
      <c r="C142" s="174">
        <v>45593</v>
      </c>
      <c r="D142" s="174">
        <v>45611</v>
      </c>
      <c r="E142" s="174">
        <v>45611</v>
      </c>
    </row>
    <row r="143" spans="1:5">
      <c r="A143" t="s">
        <v>1983</v>
      </c>
      <c r="B143" s="328">
        <v>1</v>
      </c>
      <c r="C143" s="174">
        <v>45593</v>
      </c>
      <c r="D143" s="174">
        <v>45611</v>
      </c>
      <c r="E143" s="174">
        <v>45611</v>
      </c>
    </row>
    <row r="144" spans="1:5">
      <c r="A144" t="s">
        <v>1984</v>
      </c>
      <c r="B144" s="328">
        <v>1</v>
      </c>
      <c r="C144" s="174">
        <v>45593</v>
      </c>
      <c r="D144" s="174">
        <v>45611</v>
      </c>
      <c r="E144" s="174">
        <v>45611</v>
      </c>
    </row>
    <row r="145" spans="1:5">
      <c r="A145" t="s">
        <v>1985</v>
      </c>
      <c r="B145" s="328">
        <v>1</v>
      </c>
      <c r="C145" s="174">
        <v>45593</v>
      </c>
      <c r="D145" s="174">
        <v>45611</v>
      </c>
      <c r="E145" s="174">
        <v>45611</v>
      </c>
    </row>
    <row r="146" spans="1:5">
      <c r="A146" t="s">
        <v>1986</v>
      </c>
      <c r="B146" s="328">
        <v>1</v>
      </c>
      <c r="C146" s="174">
        <v>45593</v>
      </c>
      <c r="D146" s="174">
        <v>45611</v>
      </c>
      <c r="E146" s="174">
        <v>45611</v>
      </c>
    </row>
    <row r="147" spans="1:5">
      <c r="A147" t="s">
        <v>1987</v>
      </c>
      <c r="B147" s="328">
        <v>1</v>
      </c>
      <c r="C147" s="174">
        <v>45593</v>
      </c>
      <c r="D147" s="174">
        <v>45611</v>
      </c>
      <c r="E147" s="174">
        <v>45611</v>
      </c>
    </row>
    <row r="148" spans="1:5">
      <c r="A148" t="s">
        <v>1988</v>
      </c>
      <c r="B148" s="328">
        <v>1</v>
      </c>
      <c r="C148" s="174">
        <v>45593</v>
      </c>
      <c r="D148" s="174">
        <v>45611</v>
      </c>
      <c r="E148" s="174">
        <v>45611</v>
      </c>
    </row>
    <row r="149" spans="1:5">
      <c r="A149" t="s">
        <v>1989</v>
      </c>
      <c r="B149" s="328">
        <v>1</v>
      </c>
      <c r="C149" s="328"/>
      <c r="D149" s="174">
        <v>45611</v>
      </c>
      <c r="E149" s="174">
        <v>45611</v>
      </c>
    </row>
    <row r="150" spans="1:5">
      <c r="A150" t="s">
        <v>1990</v>
      </c>
      <c r="B150" s="328">
        <v>1</v>
      </c>
      <c r="C150" s="174">
        <v>45593</v>
      </c>
      <c r="D150" s="174">
        <v>45611</v>
      </c>
      <c r="E150" s="174">
        <v>45611</v>
      </c>
    </row>
    <row r="151" spans="1:5">
      <c r="A151" t="s">
        <v>1991</v>
      </c>
      <c r="B151" s="328">
        <v>1</v>
      </c>
      <c r="C151" s="174">
        <v>45593</v>
      </c>
      <c r="D151" s="174">
        <v>45611</v>
      </c>
      <c r="E151" s="174">
        <v>45611</v>
      </c>
    </row>
    <row r="152" spans="1:5">
      <c r="A152" t="s">
        <v>803</v>
      </c>
      <c r="B152" s="328">
        <v>1</v>
      </c>
      <c r="C152" s="328"/>
      <c r="D152" s="174">
        <v>45603</v>
      </c>
      <c r="E152" s="328"/>
    </row>
    <row r="153" spans="1:5">
      <c r="A153" t="s">
        <v>804</v>
      </c>
      <c r="B153" s="328">
        <v>1</v>
      </c>
      <c r="C153" s="328"/>
      <c r="D153" s="174">
        <v>45603</v>
      </c>
      <c r="E153" s="328"/>
    </row>
    <row r="154" spans="1:5">
      <c r="A154" t="s">
        <v>805</v>
      </c>
      <c r="B154" s="328">
        <v>1</v>
      </c>
      <c r="C154" s="328"/>
      <c r="D154" s="174">
        <v>45603</v>
      </c>
      <c r="E154" s="328"/>
    </row>
    <row r="155" spans="1:5">
      <c r="A155" t="s">
        <v>806</v>
      </c>
      <c r="B155" s="328">
        <v>1</v>
      </c>
      <c r="C155" s="328"/>
      <c r="D155" s="174">
        <v>45603</v>
      </c>
      <c r="E155" s="328"/>
    </row>
    <row r="156" spans="1:5">
      <c r="A156" t="s">
        <v>807</v>
      </c>
      <c r="B156" s="328">
        <v>1</v>
      </c>
      <c r="C156" s="328"/>
      <c r="D156" s="174">
        <v>45603</v>
      </c>
      <c r="E156" s="328"/>
    </row>
    <row r="157" spans="1:5">
      <c r="A157" t="s">
        <v>808</v>
      </c>
      <c r="B157" s="328">
        <v>1</v>
      </c>
      <c r="C157" s="328"/>
      <c r="D157" s="174">
        <v>45603</v>
      </c>
      <c r="E157" s="328"/>
    </row>
    <row r="158" spans="1:5">
      <c r="A158" t="s">
        <v>809</v>
      </c>
      <c r="B158" s="328">
        <v>1</v>
      </c>
      <c r="C158" s="328"/>
      <c r="D158" s="174">
        <v>45603</v>
      </c>
      <c r="E158" s="328"/>
    </row>
    <row r="159" spans="1:5">
      <c r="A159" t="s">
        <v>810</v>
      </c>
      <c r="B159" s="328">
        <v>1</v>
      </c>
      <c r="C159" s="328"/>
      <c r="D159" s="174">
        <v>45603</v>
      </c>
      <c r="E159" s="328"/>
    </row>
    <row r="160" spans="1:5">
      <c r="A160" t="s">
        <v>811</v>
      </c>
      <c r="B160" s="328">
        <v>1</v>
      </c>
      <c r="C160" s="328"/>
      <c r="D160" s="174">
        <v>45603</v>
      </c>
      <c r="E160" s="174">
        <v>45534</v>
      </c>
    </row>
    <row r="161" spans="1:5">
      <c r="A161" t="s">
        <v>812</v>
      </c>
      <c r="B161" s="328">
        <v>1</v>
      </c>
      <c r="C161" s="328"/>
      <c r="D161" s="174">
        <v>45603</v>
      </c>
      <c r="E161" s="174">
        <v>45534</v>
      </c>
    </row>
    <row r="162" spans="1:5">
      <c r="A162" t="s">
        <v>813</v>
      </c>
      <c r="B162" s="328">
        <v>1</v>
      </c>
      <c r="C162" s="328"/>
      <c r="D162" s="174">
        <v>45603</v>
      </c>
      <c r="E162" s="174">
        <v>45534</v>
      </c>
    </row>
    <row r="163" spans="1:5">
      <c r="A163" t="s">
        <v>814</v>
      </c>
      <c r="B163" s="328">
        <v>0</v>
      </c>
      <c r="C163" s="328"/>
      <c r="D163" s="174">
        <v>45534</v>
      </c>
      <c r="E163" s="174">
        <v>45534</v>
      </c>
    </row>
    <row r="164" spans="1:5">
      <c r="A164" t="s">
        <v>815</v>
      </c>
      <c r="B164" s="328">
        <v>1</v>
      </c>
      <c r="C164" s="328"/>
      <c r="D164" s="174">
        <v>45603</v>
      </c>
      <c r="E164" s="174">
        <v>45534</v>
      </c>
    </row>
    <row r="165" spans="1:5">
      <c r="A165" t="s">
        <v>816</v>
      </c>
      <c r="B165" s="328">
        <v>1</v>
      </c>
      <c r="C165" s="328"/>
      <c r="D165" s="174">
        <v>45603</v>
      </c>
      <c r="E165" s="174">
        <v>45534</v>
      </c>
    </row>
    <row r="166" spans="1:5">
      <c r="A166" t="s">
        <v>817</v>
      </c>
      <c r="B166" s="328">
        <v>1</v>
      </c>
      <c r="C166" s="328"/>
      <c r="D166" s="174">
        <v>45603</v>
      </c>
      <c r="E166" s="174">
        <v>45534</v>
      </c>
    </row>
    <row r="167" spans="1:5">
      <c r="A167" t="s">
        <v>818</v>
      </c>
      <c r="B167" s="328">
        <v>1</v>
      </c>
      <c r="C167" s="328"/>
      <c r="D167" s="174">
        <v>45603</v>
      </c>
      <c r="E167" s="174">
        <v>45534</v>
      </c>
    </row>
    <row r="168" spans="1:5">
      <c r="A168" t="s">
        <v>819</v>
      </c>
      <c r="B168" s="328">
        <v>1</v>
      </c>
      <c r="C168" s="328"/>
      <c r="D168" s="174">
        <v>45603</v>
      </c>
      <c r="E168" s="174">
        <v>45534</v>
      </c>
    </row>
    <row r="169" spans="1:5">
      <c r="A169" t="s">
        <v>820</v>
      </c>
      <c r="B169" s="328">
        <v>1</v>
      </c>
      <c r="C169" s="328"/>
      <c r="D169" s="174">
        <v>45603</v>
      </c>
      <c r="E169" s="174">
        <v>45534</v>
      </c>
    </row>
    <row r="170" spans="1:5">
      <c r="A170" t="s">
        <v>821</v>
      </c>
      <c r="B170" s="328">
        <v>1</v>
      </c>
      <c r="C170" s="328"/>
      <c r="D170" s="174">
        <v>45603</v>
      </c>
      <c r="E170" s="174">
        <v>45534</v>
      </c>
    </row>
    <row r="171" spans="1:5">
      <c r="A171" t="s">
        <v>822</v>
      </c>
      <c r="B171" s="328">
        <v>1</v>
      </c>
      <c r="C171" s="328"/>
      <c r="D171" s="174">
        <v>45603</v>
      </c>
      <c r="E171" s="174">
        <v>45534</v>
      </c>
    </row>
    <row r="172" spans="1:5">
      <c r="A172" t="s">
        <v>823</v>
      </c>
      <c r="B172" s="328">
        <v>1</v>
      </c>
      <c r="C172" s="328"/>
      <c r="D172" s="174">
        <v>45603</v>
      </c>
      <c r="E172" s="174">
        <v>45534</v>
      </c>
    </row>
    <row r="173" spans="1:5">
      <c r="A173" t="s">
        <v>824</v>
      </c>
      <c r="B173" s="328">
        <v>1</v>
      </c>
      <c r="C173" s="328"/>
      <c r="D173" s="174">
        <v>45603</v>
      </c>
      <c r="E173" s="174">
        <v>45534</v>
      </c>
    </row>
    <row r="174" spans="1:5">
      <c r="A174" t="s">
        <v>825</v>
      </c>
      <c r="B174" s="328">
        <v>1</v>
      </c>
      <c r="C174" s="328"/>
      <c r="D174" s="174">
        <v>45603</v>
      </c>
      <c r="E174" s="174">
        <v>45534</v>
      </c>
    </row>
    <row r="175" spans="1:5">
      <c r="A175" t="s">
        <v>826</v>
      </c>
      <c r="B175" s="328">
        <v>1</v>
      </c>
      <c r="C175" s="328"/>
      <c r="D175" s="174">
        <v>45603</v>
      </c>
      <c r="E175" s="174">
        <v>45534</v>
      </c>
    </row>
    <row r="176" spans="1:5">
      <c r="A176" t="s">
        <v>827</v>
      </c>
      <c r="B176" s="328">
        <v>1</v>
      </c>
      <c r="C176" s="328"/>
      <c r="D176" s="174">
        <v>45603</v>
      </c>
      <c r="E176" s="174">
        <v>45534</v>
      </c>
    </row>
    <row r="177" spans="1:5">
      <c r="A177" t="s">
        <v>828</v>
      </c>
      <c r="B177" s="328">
        <v>1</v>
      </c>
      <c r="C177" s="328"/>
      <c r="D177" s="174">
        <v>45603</v>
      </c>
      <c r="E177" s="174">
        <v>45534</v>
      </c>
    </row>
    <row r="178" spans="1:5">
      <c r="A178" t="s">
        <v>829</v>
      </c>
      <c r="B178" s="328">
        <v>1</v>
      </c>
      <c r="C178" s="328"/>
      <c r="D178" s="174">
        <v>45603</v>
      </c>
      <c r="E178" s="174">
        <v>45534</v>
      </c>
    </row>
    <row r="179" spans="1:5">
      <c r="A179" t="s">
        <v>830</v>
      </c>
      <c r="B179" s="328">
        <v>1</v>
      </c>
      <c r="C179" s="328"/>
      <c r="D179" s="174">
        <v>45603</v>
      </c>
      <c r="E179" s="328"/>
    </row>
    <row r="180" spans="1:5">
      <c r="A180" t="s">
        <v>831</v>
      </c>
      <c r="B180" s="328">
        <v>0</v>
      </c>
      <c r="C180" s="328"/>
      <c r="D180" s="328"/>
      <c r="E180" s="328"/>
    </row>
    <row r="181" spans="1:5">
      <c r="A181" t="s">
        <v>832</v>
      </c>
      <c r="B181" s="328">
        <v>1</v>
      </c>
      <c r="C181" s="328"/>
      <c r="D181" s="174">
        <v>45603</v>
      </c>
      <c r="E181" s="328"/>
    </row>
    <row r="182" spans="1:5">
      <c r="A182" t="s">
        <v>833</v>
      </c>
      <c r="B182" s="328">
        <v>1</v>
      </c>
      <c r="C182" s="328"/>
      <c r="D182" s="174">
        <v>45603</v>
      </c>
      <c r="E182" s="328"/>
    </row>
    <row r="183" spans="1:5">
      <c r="A183" t="s">
        <v>834</v>
      </c>
      <c r="B183" s="328">
        <v>1</v>
      </c>
      <c r="C183" s="328"/>
      <c r="D183" s="174">
        <v>45603</v>
      </c>
      <c r="E183" s="328"/>
    </row>
    <row r="184" spans="1:5">
      <c r="A184" t="s">
        <v>835</v>
      </c>
      <c r="B184" s="328">
        <v>0</v>
      </c>
      <c r="C184" s="328"/>
      <c r="D184" s="328"/>
      <c r="E184" s="328"/>
    </row>
    <row r="185" spans="1:5">
      <c r="A185" t="s">
        <v>836</v>
      </c>
      <c r="B185" s="328">
        <v>1</v>
      </c>
      <c r="C185" s="328"/>
      <c r="D185" s="174">
        <v>45603</v>
      </c>
      <c r="E185" s="328"/>
    </row>
    <row r="186" spans="1:5">
      <c r="A186" t="s">
        <v>837</v>
      </c>
      <c r="B186" s="328">
        <v>1</v>
      </c>
      <c r="C186" s="328"/>
      <c r="D186" s="174">
        <v>45603</v>
      </c>
      <c r="E186" s="328"/>
    </row>
    <row r="187" spans="1:5">
      <c r="A187" t="s">
        <v>838</v>
      </c>
      <c r="B187" s="328">
        <v>1</v>
      </c>
      <c r="C187" s="328"/>
      <c r="D187" s="174">
        <v>45603</v>
      </c>
      <c r="E187" s="328"/>
    </row>
    <row r="188" spans="1:5">
      <c r="A188" t="s">
        <v>839</v>
      </c>
      <c r="B188" s="328">
        <v>0</v>
      </c>
      <c r="C188" s="328"/>
      <c r="D188" s="328"/>
      <c r="E188" s="328"/>
    </row>
    <row r="189" spans="1:5">
      <c r="A189" t="s">
        <v>840</v>
      </c>
      <c r="B189" s="328">
        <v>1</v>
      </c>
      <c r="C189" s="328"/>
      <c r="D189" s="174">
        <v>45603</v>
      </c>
      <c r="E189" s="328"/>
    </row>
    <row r="190" spans="1:5">
      <c r="A190" t="s">
        <v>841</v>
      </c>
      <c r="B190" s="328">
        <v>1</v>
      </c>
      <c r="C190" s="328"/>
      <c r="D190" s="174">
        <v>45603</v>
      </c>
      <c r="E190" s="328"/>
    </row>
    <row r="191" spans="1:5">
      <c r="A191" t="s">
        <v>842</v>
      </c>
      <c r="B191" s="328">
        <v>1</v>
      </c>
      <c r="C191" s="328"/>
      <c r="D191" s="174">
        <v>45603</v>
      </c>
      <c r="E191" s="328"/>
    </row>
    <row r="192" spans="1:5">
      <c r="A192" t="s">
        <v>843</v>
      </c>
      <c r="B192" s="328">
        <v>1</v>
      </c>
      <c r="C192" s="328"/>
      <c r="D192" s="174">
        <v>45603</v>
      </c>
      <c r="E192" s="328"/>
    </row>
    <row r="193" spans="1:5">
      <c r="A193" t="s">
        <v>844</v>
      </c>
      <c r="B193" s="328">
        <v>1</v>
      </c>
      <c r="C193" s="328"/>
      <c r="D193" s="174">
        <v>45603</v>
      </c>
      <c r="E193" s="328"/>
    </row>
    <row r="194" spans="1:5">
      <c r="A194" t="s">
        <v>845</v>
      </c>
      <c r="B194" s="328">
        <v>1</v>
      </c>
      <c r="C194" s="328"/>
      <c r="D194" s="174">
        <v>45603</v>
      </c>
      <c r="E194" s="328"/>
    </row>
    <row r="195" spans="1:5">
      <c r="A195" t="s">
        <v>846</v>
      </c>
      <c r="B195" s="328">
        <v>0</v>
      </c>
      <c r="C195" s="328"/>
      <c r="D195" s="328"/>
      <c r="E195" s="328"/>
    </row>
    <row r="196" spans="1:5">
      <c r="A196" t="s">
        <v>847</v>
      </c>
      <c r="B196" s="328">
        <v>0</v>
      </c>
      <c r="C196" s="328"/>
      <c r="D196" s="328"/>
      <c r="E196" s="328"/>
    </row>
    <row r="197" spans="1:5">
      <c r="A197" t="s">
        <v>848</v>
      </c>
      <c r="B197" s="328">
        <v>0</v>
      </c>
      <c r="C197" s="328"/>
      <c r="D197" s="328"/>
      <c r="E197" s="328"/>
    </row>
    <row r="198" spans="1:5">
      <c r="A198" t="s">
        <v>849</v>
      </c>
      <c r="B198" s="328">
        <v>1</v>
      </c>
      <c r="C198" s="328"/>
      <c r="D198" s="174">
        <v>45603</v>
      </c>
      <c r="E198" s="328"/>
    </row>
    <row r="199" spans="1:5">
      <c r="A199" t="s">
        <v>850</v>
      </c>
      <c r="B199" s="328">
        <v>1</v>
      </c>
      <c r="C199" s="328"/>
      <c r="D199" s="174">
        <v>45603</v>
      </c>
      <c r="E199" s="328"/>
    </row>
    <row r="200" spans="1:5">
      <c r="A200" t="s">
        <v>851</v>
      </c>
      <c r="B200" s="328">
        <v>0</v>
      </c>
      <c r="C200" s="328"/>
      <c r="D200" s="328"/>
      <c r="E200" s="328"/>
    </row>
    <row r="201" spans="1:5">
      <c r="A201" t="s">
        <v>852</v>
      </c>
      <c r="B201" s="328">
        <v>1</v>
      </c>
      <c r="C201" s="328"/>
      <c r="D201" s="174">
        <v>45603</v>
      </c>
      <c r="E201" s="328"/>
    </row>
    <row r="202" spans="1:5">
      <c r="A202" t="s">
        <v>853</v>
      </c>
      <c r="B202" s="328">
        <v>1</v>
      </c>
      <c r="C202" s="328"/>
      <c r="D202" s="174">
        <v>45603</v>
      </c>
      <c r="E202" s="328"/>
    </row>
    <row r="203" spans="1:5">
      <c r="A203" t="s">
        <v>854</v>
      </c>
      <c r="B203" s="328">
        <v>1</v>
      </c>
      <c r="C203" s="328"/>
      <c r="D203" s="174">
        <v>45603</v>
      </c>
      <c r="E203" s="328"/>
    </row>
    <row r="204" spans="1:5">
      <c r="A204" t="s">
        <v>855</v>
      </c>
      <c r="B204" s="328">
        <v>1</v>
      </c>
      <c r="C204" s="328"/>
      <c r="D204" s="174">
        <v>45603</v>
      </c>
      <c r="E204" s="328"/>
    </row>
    <row r="205" spans="1:5">
      <c r="A205" t="s">
        <v>856</v>
      </c>
      <c r="B205" s="328">
        <v>1</v>
      </c>
      <c r="C205" s="328"/>
      <c r="D205" s="174">
        <v>45603</v>
      </c>
      <c r="E205" s="328"/>
    </row>
    <row r="206" spans="1:5">
      <c r="A206" t="s">
        <v>857</v>
      </c>
      <c r="B206" s="328">
        <v>1</v>
      </c>
      <c r="C206" s="328"/>
      <c r="D206" s="174">
        <v>45603</v>
      </c>
      <c r="E206" s="328"/>
    </row>
    <row r="207" spans="1:5">
      <c r="A207" t="s">
        <v>858</v>
      </c>
      <c r="B207" s="328">
        <v>1</v>
      </c>
      <c r="C207" s="328"/>
      <c r="D207" s="174">
        <v>45603</v>
      </c>
      <c r="E207" s="328"/>
    </row>
    <row r="208" spans="1:5">
      <c r="A208" t="s">
        <v>859</v>
      </c>
      <c r="B208" s="328">
        <v>1</v>
      </c>
      <c r="C208" s="328"/>
      <c r="D208" s="174">
        <v>45603</v>
      </c>
      <c r="E208" s="328"/>
    </row>
    <row r="209" spans="1:5">
      <c r="A209" t="s">
        <v>860</v>
      </c>
      <c r="B209" s="328">
        <v>1</v>
      </c>
      <c r="C209" s="328"/>
      <c r="D209" s="174">
        <v>45603</v>
      </c>
      <c r="E209" s="328"/>
    </row>
    <row r="210" spans="1:5">
      <c r="A210" t="s">
        <v>861</v>
      </c>
      <c r="B210" s="328">
        <v>1</v>
      </c>
      <c r="C210" s="328"/>
      <c r="D210" s="174">
        <v>45603</v>
      </c>
      <c r="E210" s="328"/>
    </row>
    <row r="211" spans="1:5">
      <c r="A211" t="s">
        <v>862</v>
      </c>
      <c r="B211" s="328">
        <v>1</v>
      </c>
      <c r="C211" s="328"/>
      <c r="D211" s="174">
        <v>45603</v>
      </c>
      <c r="E211" s="328"/>
    </row>
    <row r="212" spans="1:5">
      <c r="A212" t="s">
        <v>863</v>
      </c>
      <c r="B212" s="328">
        <v>1</v>
      </c>
      <c r="C212" s="328"/>
      <c r="D212" s="174">
        <v>45603</v>
      </c>
      <c r="E212" s="328"/>
    </row>
    <row r="213" spans="1:5">
      <c r="A213" t="s">
        <v>864</v>
      </c>
      <c r="B213" s="328">
        <v>1</v>
      </c>
      <c r="C213" s="328"/>
      <c r="D213" s="174">
        <v>45603</v>
      </c>
      <c r="E213" s="328"/>
    </row>
    <row r="214" spans="1:5">
      <c r="A214" t="s">
        <v>865</v>
      </c>
      <c r="B214" s="328">
        <v>1</v>
      </c>
      <c r="C214" s="328"/>
      <c r="D214" s="174">
        <v>45603</v>
      </c>
      <c r="E214" s="328"/>
    </row>
    <row r="215" spans="1:5">
      <c r="A215" t="s">
        <v>866</v>
      </c>
      <c r="B215" s="328">
        <v>1</v>
      </c>
      <c r="C215" s="328"/>
      <c r="D215" s="174">
        <v>45603</v>
      </c>
      <c r="E215" s="328"/>
    </row>
    <row r="216" spans="1:5">
      <c r="A216" t="s">
        <v>867</v>
      </c>
      <c r="B216" s="328">
        <v>1</v>
      </c>
      <c r="C216" s="174">
        <v>45491</v>
      </c>
      <c r="D216" s="174">
        <v>45603</v>
      </c>
      <c r="E216" s="174">
        <v>45499</v>
      </c>
    </row>
    <row r="217" spans="1:5">
      <c r="A217" t="s">
        <v>868</v>
      </c>
      <c r="B217" s="328">
        <v>1</v>
      </c>
      <c r="C217" s="174">
        <v>45491</v>
      </c>
      <c r="D217" s="174">
        <v>45603</v>
      </c>
      <c r="E217" s="174">
        <v>45499</v>
      </c>
    </row>
    <row r="218" spans="1:5">
      <c r="A218" t="s">
        <v>869</v>
      </c>
      <c r="B218" s="328">
        <v>1</v>
      </c>
      <c r="C218" s="328"/>
      <c r="D218" s="174">
        <v>45603</v>
      </c>
      <c r="E218" s="328"/>
    </row>
    <row r="219" spans="1:5">
      <c r="A219" t="s">
        <v>870</v>
      </c>
      <c r="B219" s="328">
        <v>1</v>
      </c>
      <c r="C219" s="328"/>
      <c r="D219" s="174">
        <v>45603</v>
      </c>
      <c r="E219" s="174">
        <v>45534</v>
      </c>
    </row>
    <row r="220" spans="1:5">
      <c r="A220" t="s">
        <v>871</v>
      </c>
      <c r="B220" s="328">
        <v>1</v>
      </c>
      <c r="C220" s="328"/>
      <c r="D220" s="174">
        <v>45603</v>
      </c>
      <c r="E220" s="174">
        <v>45534</v>
      </c>
    </row>
    <row r="221" spans="1:5">
      <c r="A221" t="s">
        <v>872</v>
      </c>
      <c r="B221" s="328">
        <v>1</v>
      </c>
      <c r="C221" s="174">
        <v>45471</v>
      </c>
      <c r="D221" s="174">
        <v>45603</v>
      </c>
      <c r="E221" s="174">
        <v>45534</v>
      </c>
    </row>
    <row r="222" spans="1:5">
      <c r="A222" t="s">
        <v>873</v>
      </c>
      <c r="B222" s="328">
        <v>1</v>
      </c>
      <c r="C222" s="328"/>
      <c r="D222" s="174">
        <v>45603</v>
      </c>
      <c r="E222" s="174">
        <v>45534</v>
      </c>
    </row>
    <row r="223" spans="1:5">
      <c r="A223" t="s">
        <v>874</v>
      </c>
      <c r="B223" s="328">
        <v>1</v>
      </c>
      <c r="C223" s="328"/>
      <c r="D223" s="174">
        <v>45603</v>
      </c>
      <c r="E223" s="174">
        <v>45534</v>
      </c>
    </row>
    <row r="224" spans="1:5">
      <c r="A224" t="s">
        <v>875</v>
      </c>
      <c r="B224" s="328">
        <v>1</v>
      </c>
      <c r="C224" s="328"/>
      <c r="D224" s="174">
        <v>45603</v>
      </c>
      <c r="E224" s="174">
        <v>45534</v>
      </c>
    </row>
    <row r="225" spans="1:5">
      <c r="A225" t="s">
        <v>876</v>
      </c>
      <c r="B225" s="328">
        <v>1</v>
      </c>
      <c r="C225" s="328"/>
      <c r="D225" s="174">
        <v>45603</v>
      </c>
      <c r="E225" s="174">
        <v>45534</v>
      </c>
    </row>
    <row r="226" spans="1:5">
      <c r="A226" t="s">
        <v>877</v>
      </c>
      <c r="B226" s="328">
        <v>1</v>
      </c>
      <c r="C226" s="328"/>
      <c r="D226" s="174">
        <v>45603</v>
      </c>
      <c r="E226" s="174">
        <v>45534</v>
      </c>
    </row>
    <row r="227" spans="1:5">
      <c r="A227" t="s">
        <v>878</v>
      </c>
      <c r="B227" s="328">
        <v>1</v>
      </c>
      <c r="C227" s="328"/>
      <c r="D227" s="174">
        <v>45603</v>
      </c>
      <c r="E227" s="174">
        <v>45534</v>
      </c>
    </row>
    <row r="228" spans="1:5">
      <c r="A228" t="s">
        <v>879</v>
      </c>
      <c r="B228" s="328">
        <v>1</v>
      </c>
      <c r="C228" s="328"/>
      <c r="D228" s="174">
        <v>45603</v>
      </c>
      <c r="E228" s="174">
        <v>45534</v>
      </c>
    </row>
    <row r="229" spans="1:5">
      <c r="A229" t="s">
        <v>880</v>
      </c>
      <c r="B229" s="328">
        <v>1</v>
      </c>
      <c r="C229" s="328"/>
      <c r="D229" s="174">
        <v>45603</v>
      </c>
      <c r="E229" s="174">
        <v>45534</v>
      </c>
    </row>
    <row r="230" spans="1:5">
      <c r="A230" t="s">
        <v>881</v>
      </c>
      <c r="B230" s="328">
        <v>1</v>
      </c>
      <c r="C230" s="328"/>
      <c r="D230" s="174">
        <v>45603</v>
      </c>
      <c r="E230" s="174">
        <v>45534</v>
      </c>
    </row>
    <row r="231" spans="1:5">
      <c r="A231" t="s">
        <v>882</v>
      </c>
      <c r="B231" s="328">
        <v>1</v>
      </c>
      <c r="C231" s="328"/>
      <c r="D231" s="174">
        <v>45603</v>
      </c>
      <c r="E231" s="174">
        <v>45534</v>
      </c>
    </row>
    <row r="232" spans="1:5">
      <c r="A232" t="s">
        <v>883</v>
      </c>
      <c r="B232" s="328">
        <v>1</v>
      </c>
      <c r="C232" s="328"/>
      <c r="D232" s="174">
        <v>45603</v>
      </c>
      <c r="E232" s="174">
        <v>45534</v>
      </c>
    </row>
    <row r="233" spans="1:5">
      <c r="A233" t="s">
        <v>884</v>
      </c>
      <c r="B233" s="328">
        <v>1</v>
      </c>
      <c r="C233" s="328"/>
      <c r="D233" s="174">
        <v>45603</v>
      </c>
      <c r="E233" s="174">
        <v>45534</v>
      </c>
    </row>
    <row r="234" spans="1:5">
      <c r="A234" t="s">
        <v>885</v>
      </c>
      <c r="B234" s="328">
        <v>1</v>
      </c>
      <c r="C234" s="328"/>
      <c r="D234" s="174">
        <v>45603</v>
      </c>
      <c r="E234" s="174">
        <v>45534</v>
      </c>
    </row>
    <row r="235" spans="1:5">
      <c r="A235" t="s">
        <v>886</v>
      </c>
      <c r="B235" s="328">
        <v>1</v>
      </c>
      <c r="C235" s="328"/>
      <c r="D235" s="174">
        <v>45603</v>
      </c>
      <c r="E235" s="174">
        <v>45534</v>
      </c>
    </row>
    <row r="236" spans="1:5">
      <c r="A236" t="s">
        <v>887</v>
      </c>
      <c r="B236" s="328">
        <v>1</v>
      </c>
      <c r="C236" s="328"/>
      <c r="D236" s="174">
        <v>45603</v>
      </c>
      <c r="E236" s="174">
        <v>45534</v>
      </c>
    </row>
    <row r="237" spans="1:5">
      <c r="A237" t="s">
        <v>888</v>
      </c>
      <c r="B237" s="328">
        <v>1</v>
      </c>
      <c r="C237" s="328"/>
      <c r="D237" s="174">
        <v>45603</v>
      </c>
      <c r="E237" s="174">
        <v>45534</v>
      </c>
    </row>
    <row r="238" spans="1:5">
      <c r="A238" t="s">
        <v>889</v>
      </c>
      <c r="B238" s="328">
        <v>0</v>
      </c>
      <c r="C238" s="328"/>
      <c r="D238" s="328"/>
      <c r="E238" s="328"/>
    </row>
    <row r="239" spans="1:5">
      <c r="A239" t="s">
        <v>890</v>
      </c>
      <c r="B239" s="328">
        <v>0</v>
      </c>
      <c r="C239" s="328"/>
      <c r="D239" s="328"/>
      <c r="E239" s="328"/>
    </row>
    <row r="240" spans="1:5">
      <c r="A240" t="s">
        <v>891</v>
      </c>
      <c r="B240" s="328">
        <v>0</v>
      </c>
      <c r="C240" s="328"/>
      <c r="D240" s="328"/>
      <c r="E240" s="328"/>
    </row>
    <row r="241" spans="1:5">
      <c r="A241" t="s">
        <v>892</v>
      </c>
      <c r="B241" s="328">
        <v>1</v>
      </c>
      <c r="C241" s="328"/>
      <c r="D241" s="174">
        <v>45603</v>
      </c>
      <c r="E241" s="174">
        <v>45534</v>
      </c>
    </row>
    <row r="242" spans="1:5">
      <c r="A242" t="s">
        <v>893</v>
      </c>
      <c r="B242" s="328">
        <v>1</v>
      </c>
      <c r="C242" s="328"/>
      <c r="D242" s="174">
        <v>45603</v>
      </c>
      <c r="E242" s="174">
        <v>45534</v>
      </c>
    </row>
    <row r="243" spans="1:5">
      <c r="A243" t="s">
        <v>894</v>
      </c>
      <c r="B243" s="328">
        <v>1</v>
      </c>
      <c r="C243" s="328"/>
      <c r="D243" s="174">
        <v>45603</v>
      </c>
      <c r="E243" s="174">
        <v>45534</v>
      </c>
    </row>
    <row r="244" spans="1:5">
      <c r="A244" t="s">
        <v>895</v>
      </c>
      <c r="B244" s="328">
        <v>1</v>
      </c>
      <c r="C244" s="328"/>
      <c r="D244" s="174">
        <v>45603</v>
      </c>
      <c r="E244" s="174">
        <v>45534</v>
      </c>
    </row>
    <row r="245" spans="1:5">
      <c r="A245" t="s">
        <v>896</v>
      </c>
      <c r="B245" s="328">
        <v>1</v>
      </c>
      <c r="C245" s="328"/>
      <c r="D245" s="174">
        <v>45603</v>
      </c>
      <c r="E245" s="174">
        <v>45534</v>
      </c>
    </row>
    <row r="246" spans="1:5">
      <c r="A246" t="s">
        <v>897</v>
      </c>
      <c r="B246" s="328">
        <v>1</v>
      </c>
      <c r="C246" s="328"/>
      <c r="D246" s="174">
        <v>45603</v>
      </c>
      <c r="E246" s="174">
        <v>45534</v>
      </c>
    </row>
    <row r="247" spans="1:5">
      <c r="A247" t="s">
        <v>898</v>
      </c>
      <c r="B247" s="328">
        <v>1</v>
      </c>
      <c r="C247" s="328"/>
      <c r="D247" s="174">
        <v>45603</v>
      </c>
      <c r="E247" s="174">
        <v>45534</v>
      </c>
    </row>
    <row r="248" spans="1:5">
      <c r="A248" t="s">
        <v>899</v>
      </c>
      <c r="B248" s="328">
        <v>1</v>
      </c>
      <c r="C248" s="328"/>
      <c r="D248" s="174">
        <v>45603</v>
      </c>
      <c r="E248" s="174">
        <v>45534</v>
      </c>
    </row>
    <row r="249" spans="1:5">
      <c r="A249" t="s">
        <v>900</v>
      </c>
      <c r="B249" s="328">
        <v>1</v>
      </c>
      <c r="C249" s="328"/>
      <c r="D249" s="174">
        <v>45603</v>
      </c>
      <c r="E249" s="174">
        <v>45534</v>
      </c>
    </row>
    <row r="250" spans="1:5">
      <c r="A250" t="s">
        <v>901</v>
      </c>
      <c r="B250" s="328">
        <v>1</v>
      </c>
      <c r="C250" s="328"/>
      <c r="D250" s="174">
        <v>45603</v>
      </c>
      <c r="E250" s="174">
        <v>45534</v>
      </c>
    </row>
    <row r="251" spans="1:5">
      <c r="A251" t="s">
        <v>902</v>
      </c>
      <c r="B251" s="328">
        <v>1</v>
      </c>
      <c r="C251" s="328"/>
      <c r="D251" s="174">
        <v>45603</v>
      </c>
      <c r="E251" s="174">
        <v>45534</v>
      </c>
    </row>
    <row r="252" spans="1:5">
      <c r="A252" t="s">
        <v>903</v>
      </c>
      <c r="B252" s="328">
        <v>1</v>
      </c>
      <c r="C252" s="328"/>
      <c r="D252" s="174">
        <v>45603</v>
      </c>
      <c r="E252" s="174">
        <v>45534</v>
      </c>
    </row>
    <row r="253" spans="1:5">
      <c r="A253" t="s">
        <v>904</v>
      </c>
      <c r="B253" s="328">
        <v>1</v>
      </c>
      <c r="C253" s="328"/>
      <c r="D253" s="174">
        <v>45603</v>
      </c>
      <c r="E253" s="174">
        <v>45534</v>
      </c>
    </row>
    <row r="254" spans="1:5">
      <c r="A254" t="s">
        <v>905</v>
      </c>
      <c r="B254" s="328">
        <v>1</v>
      </c>
      <c r="C254" s="328"/>
      <c r="D254" s="174">
        <v>45603</v>
      </c>
      <c r="E254" s="174">
        <v>45534</v>
      </c>
    </row>
    <row r="255" spans="1:5">
      <c r="A255" t="s">
        <v>906</v>
      </c>
      <c r="B255" s="328">
        <v>1</v>
      </c>
      <c r="C255" s="328"/>
      <c r="D255" s="174">
        <v>45603</v>
      </c>
      <c r="E255" s="174">
        <v>45534</v>
      </c>
    </row>
    <row r="256" spans="1:5">
      <c r="A256" t="s">
        <v>907</v>
      </c>
      <c r="B256" s="328">
        <v>1</v>
      </c>
      <c r="C256" s="328"/>
      <c r="D256" s="174">
        <v>45603</v>
      </c>
      <c r="E256" s="174">
        <v>45534</v>
      </c>
    </row>
    <row r="257" spans="1:5">
      <c r="A257" t="s">
        <v>908</v>
      </c>
      <c r="B257" s="328">
        <v>1</v>
      </c>
      <c r="C257" s="328"/>
      <c r="D257" s="174">
        <v>45603</v>
      </c>
      <c r="E257" s="174">
        <v>45534</v>
      </c>
    </row>
    <row r="258" spans="1:5">
      <c r="A258" t="s">
        <v>909</v>
      </c>
      <c r="B258" s="328">
        <v>1</v>
      </c>
      <c r="C258" s="328"/>
      <c r="D258" s="174">
        <v>45603</v>
      </c>
      <c r="E258" s="174">
        <v>45534</v>
      </c>
    </row>
    <row r="259" spans="1:5">
      <c r="A259" t="s">
        <v>910</v>
      </c>
      <c r="B259" s="328">
        <v>1</v>
      </c>
      <c r="C259" s="328"/>
      <c r="D259" s="174">
        <v>45603</v>
      </c>
      <c r="E259" s="174">
        <v>45534</v>
      </c>
    </row>
    <row r="260" spans="1:5">
      <c r="A260" t="s">
        <v>911</v>
      </c>
      <c r="B260" s="328">
        <v>1</v>
      </c>
      <c r="C260" s="328"/>
      <c r="D260" s="174">
        <v>45603</v>
      </c>
      <c r="E260" s="174">
        <v>45534</v>
      </c>
    </row>
    <row r="261" spans="1:5">
      <c r="A261" t="s">
        <v>912</v>
      </c>
      <c r="B261" s="328">
        <v>1</v>
      </c>
      <c r="C261" s="328"/>
      <c r="D261" s="174">
        <v>45603</v>
      </c>
      <c r="E261" s="174">
        <v>45534</v>
      </c>
    </row>
    <row r="262" spans="1:5">
      <c r="A262" t="s">
        <v>913</v>
      </c>
      <c r="B262" s="328">
        <v>1</v>
      </c>
      <c r="C262" s="328"/>
      <c r="D262" s="174">
        <v>45603</v>
      </c>
      <c r="E262" s="174">
        <v>45534</v>
      </c>
    </row>
    <row r="263" spans="1:5">
      <c r="A263" t="s">
        <v>914</v>
      </c>
      <c r="B263" s="328">
        <v>1</v>
      </c>
      <c r="C263" s="328"/>
      <c r="D263" s="174">
        <v>45603</v>
      </c>
      <c r="E263" s="174">
        <v>45534</v>
      </c>
    </row>
    <row r="264" spans="1:5">
      <c r="A264" t="s">
        <v>915</v>
      </c>
      <c r="B264" s="328">
        <v>1</v>
      </c>
      <c r="C264" s="328"/>
      <c r="D264" s="174">
        <v>45603</v>
      </c>
      <c r="E264" s="174">
        <v>45534</v>
      </c>
    </row>
    <row r="265" spans="1:5">
      <c r="A265" t="s">
        <v>916</v>
      </c>
      <c r="B265" s="328">
        <v>1</v>
      </c>
      <c r="C265" s="328"/>
      <c r="D265" s="174">
        <v>45603</v>
      </c>
      <c r="E265" s="174">
        <v>45534</v>
      </c>
    </row>
    <row r="266" spans="1:5">
      <c r="A266" t="s">
        <v>917</v>
      </c>
      <c r="B266" s="328">
        <v>1</v>
      </c>
      <c r="C266" s="328"/>
      <c r="D266" s="174">
        <v>45603</v>
      </c>
      <c r="E266" s="174">
        <v>45534</v>
      </c>
    </row>
    <row r="267" spans="1:5">
      <c r="A267" t="s">
        <v>918</v>
      </c>
      <c r="B267" s="328">
        <v>1</v>
      </c>
      <c r="C267" s="328"/>
      <c r="D267" s="174">
        <v>45603</v>
      </c>
      <c r="E267" s="174">
        <v>45534</v>
      </c>
    </row>
    <row r="268" spans="1:5">
      <c r="A268" t="s">
        <v>919</v>
      </c>
      <c r="B268" s="328">
        <v>1</v>
      </c>
      <c r="C268" s="328"/>
      <c r="D268" s="174">
        <v>45603</v>
      </c>
      <c r="E268" s="174">
        <v>45534</v>
      </c>
    </row>
    <row r="269" spans="1:5">
      <c r="A269" t="s">
        <v>920</v>
      </c>
      <c r="B269" s="328">
        <v>1</v>
      </c>
      <c r="C269" s="328"/>
      <c r="D269" s="174">
        <v>45603</v>
      </c>
      <c r="E269" s="174">
        <v>45534</v>
      </c>
    </row>
    <row r="270" spans="1:5">
      <c r="A270" t="s">
        <v>921</v>
      </c>
      <c r="B270" s="328">
        <v>1</v>
      </c>
      <c r="C270" s="328"/>
      <c r="D270" s="174">
        <v>45603</v>
      </c>
      <c r="E270" s="174">
        <v>45534</v>
      </c>
    </row>
    <row r="271" spans="1:5">
      <c r="A271" t="s">
        <v>922</v>
      </c>
      <c r="B271" s="328">
        <v>1</v>
      </c>
      <c r="C271" s="328"/>
      <c r="D271" s="174">
        <v>45603</v>
      </c>
      <c r="E271" s="174">
        <v>45534</v>
      </c>
    </row>
    <row r="272" spans="1:5">
      <c r="A272" t="s">
        <v>923</v>
      </c>
      <c r="B272" s="328">
        <v>1</v>
      </c>
      <c r="C272" s="328"/>
      <c r="D272" s="174">
        <v>45603</v>
      </c>
      <c r="E272" s="174">
        <v>45534</v>
      </c>
    </row>
    <row r="273" spans="1:5">
      <c r="A273" t="s">
        <v>924</v>
      </c>
      <c r="B273" s="328">
        <v>1</v>
      </c>
      <c r="C273" s="328"/>
      <c r="D273" s="174">
        <v>45603</v>
      </c>
      <c r="E273" s="174">
        <v>45534</v>
      </c>
    </row>
    <row r="274" spans="1:5">
      <c r="A274" t="s">
        <v>925</v>
      </c>
      <c r="B274" s="328">
        <v>1</v>
      </c>
      <c r="C274" s="328"/>
      <c r="D274" s="174">
        <v>45603</v>
      </c>
      <c r="E274" s="174">
        <v>45534</v>
      </c>
    </row>
    <row r="275" spans="1:5">
      <c r="A275" t="s">
        <v>926</v>
      </c>
      <c r="B275" s="328">
        <v>1</v>
      </c>
      <c r="C275" s="328"/>
      <c r="D275" s="174">
        <v>45603</v>
      </c>
      <c r="E275" s="174">
        <v>45534</v>
      </c>
    </row>
    <row r="276" spans="1:5">
      <c r="A276" t="s">
        <v>927</v>
      </c>
      <c r="B276" s="328">
        <v>1</v>
      </c>
      <c r="C276" s="328"/>
      <c r="D276" s="174">
        <v>45603</v>
      </c>
      <c r="E276" s="174">
        <v>45534</v>
      </c>
    </row>
    <row r="277" spans="1:5">
      <c r="A277" t="s">
        <v>928</v>
      </c>
      <c r="B277" s="328">
        <v>1</v>
      </c>
      <c r="C277" s="328"/>
      <c r="D277" s="174">
        <v>45603</v>
      </c>
      <c r="E277" s="174">
        <v>45534</v>
      </c>
    </row>
    <row r="278" spans="1:5">
      <c r="A278" t="s">
        <v>929</v>
      </c>
      <c r="B278" s="328">
        <v>1</v>
      </c>
      <c r="C278" s="328"/>
      <c r="D278" s="174">
        <v>45603</v>
      </c>
      <c r="E278" s="174">
        <v>45534</v>
      </c>
    </row>
    <row r="279" spans="1:5">
      <c r="A279" t="s">
        <v>930</v>
      </c>
      <c r="B279" s="328">
        <v>1</v>
      </c>
      <c r="C279" s="328"/>
      <c r="D279" s="174">
        <v>45603</v>
      </c>
      <c r="E279" s="174">
        <v>45534</v>
      </c>
    </row>
    <row r="280" spans="1:5">
      <c r="A280" t="s">
        <v>931</v>
      </c>
      <c r="B280" s="328">
        <v>1</v>
      </c>
      <c r="C280" s="328"/>
      <c r="D280" s="174">
        <v>45603</v>
      </c>
      <c r="E280" s="174">
        <v>45534</v>
      </c>
    </row>
    <row r="281" spans="1:5">
      <c r="A281" t="s">
        <v>932</v>
      </c>
      <c r="B281" s="328">
        <v>1</v>
      </c>
      <c r="C281" s="328"/>
      <c r="D281" s="174">
        <v>45603</v>
      </c>
      <c r="E281" s="174">
        <v>45534</v>
      </c>
    </row>
    <row r="282" spans="1:5">
      <c r="A282" t="s">
        <v>933</v>
      </c>
      <c r="B282" s="328">
        <v>1</v>
      </c>
      <c r="C282" s="328"/>
      <c r="D282" s="174">
        <v>45603</v>
      </c>
      <c r="E282" s="174">
        <v>45534</v>
      </c>
    </row>
    <row r="283" spans="1:5">
      <c r="A283" t="s">
        <v>934</v>
      </c>
      <c r="B283" s="328">
        <v>1</v>
      </c>
      <c r="C283" s="328"/>
      <c r="D283" s="174">
        <v>45603</v>
      </c>
      <c r="E283" s="174">
        <v>45534</v>
      </c>
    </row>
    <row r="284" spans="1:5">
      <c r="A284" t="s">
        <v>935</v>
      </c>
      <c r="B284" s="328">
        <v>1</v>
      </c>
      <c r="C284" s="328"/>
      <c r="D284" s="174">
        <v>45603</v>
      </c>
      <c r="E284" s="174">
        <v>45534</v>
      </c>
    </row>
    <row r="285" spans="1:5">
      <c r="A285" t="s">
        <v>936</v>
      </c>
      <c r="B285" s="328">
        <v>1</v>
      </c>
      <c r="C285" s="328"/>
      <c r="D285" s="174">
        <v>45603</v>
      </c>
      <c r="E285" s="174">
        <v>45534</v>
      </c>
    </row>
    <row r="286" spans="1:5">
      <c r="A286" t="s">
        <v>937</v>
      </c>
      <c r="B286" s="328">
        <v>1</v>
      </c>
      <c r="C286" s="328"/>
      <c r="D286" s="174">
        <v>45603</v>
      </c>
      <c r="E286" s="174">
        <v>45534</v>
      </c>
    </row>
    <row r="287" spans="1:5">
      <c r="A287" t="s">
        <v>938</v>
      </c>
      <c r="B287" s="328">
        <v>1</v>
      </c>
      <c r="C287" s="328"/>
      <c r="D287" s="174">
        <v>45603</v>
      </c>
      <c r="E287" s="174">
        <v>45534</v>
      </c>
    </row>
    <row r="288" spans="1:5">
      <c r="A288" t="s">
        <v>939</v>
      </c>
      <c r="B288" s="328">
        <v>1</v>
      </c>
      <c r="C288" s="328"/>
      <c r="D288" s="174">
        <v>45603</v>
      </c>
      <c r="E288" s="174">
        <v>45534</v>
      </c>
    </row>
    <row r="289" spans="1:5">
      <c r="A289" t="s">
        <v>940</v>
      </c>
      <c r="B289" s="328">
        <v>1</v>
      </c>
      <c r="C289" s="328"/>
      <c r="D289" s="174">
        <v>45603</v>
      </c>
      <c r="E289" s="328"/>
    </row>
    <row r="290" spans="1:5">
      <c r="A290" t="s">
        <v>941</v>
      </c>
      <c r="B290" s="328">
        <v>1</v>
      </c>
      <c r="C290" s="328"/>
      <c r="D290" s="174">
        <v>45603</v>
      </c>
      <c r="E290" s="328"/>
    </row>
    <row r="291" spans="1:5">
      <c r="A291" t="s">
        <v>942</v>
      </c>
      <c r="B291" s="328">
        <v>1</v>
      </c>
      <c r="C291" s="328"/>
      <c r="D291" s="174">
        <v>45603</v>
      </c>
      <c r="E291" s="328"/>
    </row>
    <row r="292" spans="1:5">
      <c r="A292" t="s">
        <v>943</v>
      </c>
      <c r="B292" s="328">
        <v>1</v>
      </c>
      <c r="C292" s="328"/>
      <c r="D292" s="174">
        <v>45603</v>
      </c>
      <c r="E292" s="328"/>
    </row>
    <row r="293" spans="1:5">
      <c r="A293" t="s">
        <v>944</v>
      </c>
      <c r="B293" s="328">
        <v>1</v>
      </c>
      <c r="C293" s="328"/>
      <c r="D293" s="174">
        <v>45603</v>
      </c>
      <c r="E293" s="328"/>
    </row>
    <row r="294" spans="1:5">
      <c r="A294" t="s">
        <v>945</v>
      </c>
      <c r="B294" s="328">
        <v>1</v>
      </c>
      <c r="C294" s="328"/>
      <c r="D294" s="174">
        <v>45603</v>
      </c>
      <c r="E294" s="328"/>
    </row>
    <row r="295" spans="1:5">
      <c r="A295" t="s">
        <v>946</v>
      </c>
      <c r="B295" s="328">
        <v>1</v>
      </c>
      <c r="C295" s="328"/>
      <c r="D295" s="174">
        <v>45603</v>
      </c>
      <c r="E295" s="328"/>
    </row>
    <row r="296" spans="1:5">
      <c r="A296" t="s">
        <v>947</v>
      </c>
      <c r="B296" s="328">
        <v>1</v>
      </c>
      <c r="C296" s="328"/>
      <c r="D296" s="328"/>
      <c r="E296" s="328"/>
    </row>
    <row r="297" spans="1:5">
      <c r="A297" t="s">
        <v>948</v>
      </c>
      <c r="B297" s="328">
        <v>1</v>
      </c>
      <c r="C297" s="328"/>
      <c r="D297" s="328"/>
      <c r="E297" s="328"/>
    </row>
    <row r="298" spans="1:5">
      <c r="A298" t="s">
        <v>949</v>
      </c>
      <c r="B298" s="328">
        <v>1</v>
      </c>
      <c r="C298" s="328"/>
      <c r="D298" s="328"/>
      <c r="E298" s="328"/>
    </row>
    <row r="299" spans="1:5">
      <c r="A299" t="s">
        <v>950</v>
      </c>
      <c r="B299" s="328">
        <v>1</v>
      </c>
      <c r="C299" s="328"/>
      <c r="D299" s="328"/>
      <c r="E299" s="328"/>
    </row>
    <row r="300" spans="1:5">
      <c r="A300" t="s">
        <v>951</v>
      </c>
      <c r="B300" s="328">
        <v>2</v>
      </c>
      <c r="C300" s="174">
        <v>45569</v>
      </c>
      <c r="D300" s="174">
        <v>45621</v>
      </c>
      <c r="E300" s="174">
        <v>45631</v>
      </c>
    </row>
    <row r="301" spans="1:5">
      <c r="A301" t="s">
        <v>952</v>
      </c>
      <c r="B301" s="328">
        <v>2</v>
      </c>
      <c r="C301" s="174">
        <v>45569</v>
      </c>
      <c r="D301" s="174">
        <v>45621</v>
      </c>
      <c r="E301" s="174">
        <v>45631</v>
      </c>
    </row>
    <row r="302" spans="1:5">
      <c r="A302" t="s">
        <v>953</v>
      </c>
      <c r="B302" s="328">
        <v>1</v>
      </c>
      <c r="C302" s="328"/>
      <c r="D302" s="328"/>
      <c r="E302" s="328"/>
    </row>
    <row r="303" spans="1:5">
      <c r="A303" t="s">
        <v>954</v>
      </c>
      <c r="B303" s="328">
        <v>2</v>
      </c>
      <c r="C303" s="174">
        <v>45569</v>
      </c>
      <c r="D303" s="174">
        <v>45621</v>
      </c>
      <c r="E303" s="174">
        <v>45631</v>
      </c>
    </row>
    <row r="304" spans="1:5">
      <c r="A304" t="s">
        <v>955</v>
      </c>
      <c r="B304" s="328">
        <v>2</v>
      </c>
      <c r="C304" s="174">
        <v>45569</v>
      </c>
      <c r="D304" s="174">
        <v>45621</v>
      </c>
      <c r="E304" s="174">
        <v>45631</v>
      </c>
    </row>
    <row r="305" spans="1:5">
      <c r="A305" t="s">
        <v>956</v>
      </c>
      <c r="B305" s="328">
        <v>1</v>
      </c>
      <c r="C305" s="174">
        <v>45604</v>
      </c>
      <c r="D305" s="174">
        <v>45600</v>
      </c>
      <c r="E305" s="174">
        <v>45601</v>
      </c>
    </row>
    <row r="306" spans="1:5">
      <c r="A306" t="s">
        <v>957</v>
      </c>
      <c r="B306" s="328">
        <v>1</v>
      </c>
      <c r="C306" s="174">
        <v>45604</v>
      </c>
      <c r="D306" s="174">
        <v>45600</v>
      </c>
      <c r="E306" s="174">
        <v>45601</v>
      </c>
    </row>
    <row r="307" spans="1:5">
      <c r="A307" t="s">
        <v>958</v>
      </c>
      <c r="B307" s="328">
        <v>1</v>
      </c>
      <c r="C307" s="174">
        <v>45569</v>
      </c>
      <c r="D307" s="174">
        <v>45600</v>
      </c>
      <c r="E307" s="174">
        <v>45601</v>
      </c>
    </row>
    <row r="308" spans="1:5">
      <c r="A308" t="s">
        <v>959</v>
      </c>
      <c r="B308" s="328">
        <v>1</v>
      </c>
      <c r="C308" s="328"/>
      <c r="D308" s="328"/>
      <c r="E308" s="328"/>
    </row>
    <row r="309" spans="1:5">
      <c r="A309" t="s">
        <v>960</v>
      </c>
      <c r="B309" s="328">
        <v>1</v>
      </c>
      <c r="C309" s="174">
        <v>45604</v>
      </c>
      <c r="D309" s="174">
        <v>45600</v>
      </c>
      <c r="E309" s="174">
        <v>45601</v>
      </c>
    </row>
    <row r="310" spans="1:5">
      <c r="A310" t="s">
        <v>961</v>
      </c>
      <c r="B310" s="328">
        <v>1</v>
      </c>
      <c r="C310" s="174">
        <v>45604</v>
      </c>
      <c r="D310" s="174">
        <v>45600</v>
      </c>
      <c r="E310" s="174">
        <v>45601</v>
      </c>
    </row>
    <row r="311" spans="1:5">
      <c r="A311" t="s">
        <v>962</v>
      </c>
      <c r="B311" s="328">
        <v>1</v>
      </c>
      <c r="C311" s="328"/>
      <c r="D311" s="328"/>
      <c r="E311" s="328"/>
    </row>
    <row r="312" spans="1:5">
      <c r="A312" t="s">
        <v>963</v>
      </c>
      <c r="B312" s="328">
        <v>1</v>
      </c>
      <c r="C312" s="174">
        <v>45604</v>
      </c>
      <c r="D312" s="174">
        <v>45600</v>
      </c>
      <c r="E312" s="174">
        <v>45601</v>
      </c>
    </row>
    <row r="313" spans="1:5">
      <c r="A313" t="s">
        <v>964</v>
      </c>
      <c r="B313" s="328">
        <v>1</v>
      </c>
      <c r="C313" s="174">
        <v>45604</v>
      </c>
      <c r="D313" s="174">
        <v>45600</v>
      </c>
      <c r="E313" s="174">
        <v>45601</v>
      </c>
    </row>
    <row r="314" spans="1:5">
      <c r="A314" t="s">
        <v>965</v>
      </c>
      <c r="B314" s="328">
        <v>1</v>
      </c>
      <c r="C314" s="174">
        <v>45569</v>
      </c>
      <c r="D314" s="174">
        <v>45600</v>
      </c>
      <c r="E314" s="174">
        <v>45601</v>
      </c>
    </row>
    <row r="315" spans="1:5">
      <c r="A315" t="s">
        <v>966</v>
      </c>
      <c r="B315" s="328">
        <v>1</v>
      </c>
      <c r="C315" s="174">
        <v>45561</v>
      </c>
      <c r="D315" s="174">
        <v>45614</v>
      </c>
      <c r="E315" s="174">
        <v>45615</v>
      </c>
    </row>
    <row r="316" spans="1:5">
      <c r="A316" t="s">
        <v>967</v>
      </c>
      <c r="B316" s="328">
        <v>1</v>
      </c>
      <c r="C316" s="174">
        <v>45561</v>
      </c>
      <c r="D316" s="174">
        <v>45614</v>
      </c>
      <c r="E316" s="174">
        <v>45615</v>
      </c>
    </row>
    <row r="317" spans="1:5">
      <c r="A317" t="s">
        <v>968</v>
      </c>
      <c r="B317" s="328">
        <v>1</v>
      </c>
      <c r="C317" s="174">
        <v>45561</v>
      </c>
      <c r="D317" s="174">
        <v>45614</v>
      </c>
      <c r="E317" s="174">
        <v>45615</v>
      </c>
    </row>
    <row r="318" spans="1:5">
      <c r="A318" t="s">
        <v>969</v>
      </c>
      <c r="B318" s="328">
        <v>1</v>
      </c>
      <c r="C318" s="174">
        <v>45561</v>
      </c>
      <c r="D318" s="174">
        <v>45614</v>
      </c>
      <c r="E318" s="174">
        <v>45615</v>
      </c>
    </row>
    <row r="319" spans="1:5">
      <c r="A319" t="s">
        <v>970</v>
      </c>
      <c r="B319" s="328">
        <v>1</v>
      </c>
      <c r="C319" s="174">
        <v>45561</v>
      </c>
      <c r="D319" s="174">
        <v>45614</v>
      </c>
      <c r="E319" s="174">
        <v>45615</v>
      </c>
    </row>
    <row r="320" spans="1:5">
      <c r="A320" t="s">
        <v>971</v>
      </c>
      <c r="B320" s="328">
        <v>1</v>
      </c>
      <c r="C320" s="174">
        <v>45561</v>
      </c>
      <c r="D320" s="174">
        <v>45614</v>
      </c>
      <c r="E320" s="174">
        <v>45615</v>
      </c>
    </row>
    <row r="321" spans="1:5">
      <c r="A321" t="s">
        <v>972</v>
      </c>
      <c r="B321" s="328">
        <v>1</v>
      </c>
      <c r="C321" s="174">
        <v>45561</v>
      </c>
      <c r="D321" s="174">
        <v>45614</v>
      </c>
      <c r="E321" s="174">
        <v>45615</v>
      </c>
    </row>
    <row r="322" spans="1:5">
      <c r="A322" t="s">
        <v>973</v>
      </c>
      <c r="B322" s="328">
        <v>1</v>
      </c>
      <c r="C322" s="174">
        <v>45561</v>
      </c>
      <c r="D322" s="174">
        <v>45614</v>
      </c>
      <c r="E322" s="174">
        <v>45615</v>
      </c>
    </row>
    <row r="323" spans="1:5">
      <c r="A323" t="s">
        <v>974</v>
      </c>
      <c r="B323" s="328">
        <v>1</v>
      </c>
      <c r="C323" s="174">
        <v>45561</v>
      </c>
      <c r="D323" s="174">
        <v>45614</v>
      </c>
      <c r="E323" s="174">
        <v>45615</v>
      </c>
    </row>
    <row r="324" spans="1:5">
      <c r="A324" t="s">
        <v>975</v>
      </c>
      <c r="B324" s="328">
        <v>1</v>
      </c>
      <c r="C324" s="174">
        <v>45561</v>
      </c>
      <c r="D324" s="174">
        <v>45614</v>
      </c>
      <c r="E324" s="174">
        <v>45615</v>
      </c>
    </row>
    <row r="325" spans="1:5">
      <c r="A325" t="s">
        <v>976</v>
      </c>
      <c r="B325" s="328">
        <v>1</v>
      </c>
      <c r="C325" s="174">
        <v>45561</v>
      </c>
      <c r="D325" s="174">
        <v>45614</v>
      </c>
      <c r="E325" s="174">
        <v>45615</v>
      </c>
    </row>
    <row r="326" spans="1:5">
      <c r="A326" t="s">
        <v>977</v>
      </c>
      <c r="B326" s="328">
        <v>1</v>
      </c>
      <c r="C326" s="174">
        <v>45561</v>
      </c>
      <c r="D326" s="174">
        <v>45614</v>
      </c>
      <c r="E326" s="174">
        <v>45615</v>
      </c>
    </row>
    <row r="327" spans="1:5">
      <c r="A327" t="s">
        <v>978</v>
      </c>
      <c r="B327" s="328">
        <v>1</v>
      </c>
      <c r="C327" s="174">
        <v>45561</v>
      </c>
      <c r="D327" s="174">
        <v>45614</v>
      </c>
      <c r="E327" s="174">
        <v>45615</v>
      </c>
    </row>
    <row r="328" spans="1:5">
      <c r="A328" t="s">
        <v>979</v>
      </c>
      <c r="B328" s="328">
        <v>1</v>
      </c>
      <c r="C328" s="174">
        <v>45561</v>
      </c>
      <c r="D328" s="174">
        <v>45614</v>
      </c>
      <c r="E328" s="174">
        <v>45615</v>
      </c>
    </row>
    <row r="329" spans="1:5">
      <c r="A329" t="s">
        <v>980</v>
      </c>
      <c r="B329" s="328">
        <v>3</v>
      </c>
      <c r="C329" s="174">
        <v>45561</v>
      </c>
      <c r="D329" s="174">
        <v>45614</v>
      </c>
      <c r="E329" s="174">
        <v>45615</v>
      </c>
    </row>
    <row r="330" spans="1:5">
      <c r="A330" t="s">
        <v>981</v>
      </c>
      <c r="B330" s="328">
        <v>2</v>
      </c>
      <c r="C330" s="174">
        <v>45553</v>
      </c>
      <c r="D330" s="174">
        <v>45614</v>
      </c>
      <c r="E330" s="174">
        <v>45615</v>
      </c>
    </row>
    <row r="331" spans="1:5">
      <c r="A331" t="s">
        <v>982</v>
      </c>
      <c r="B331" s="328">
        <v>2</v>
      </c>
      <c r="C331" s="174">
        <v>45553</v>
      </c>
      <c r="D331" s="174">
        <v>45614</v>
      </c>
      <c r="E331" s="174">
        <v>45615</v>
      </c>
    </row>
    <row r="332" spans="1:5">
      <c r="A332" t="s">
        <v>983</v>
      </c>
      <c r="B332" s="328">
        <v>1</v>
      </c>
      <c r="C332" s="174">
        <v>45569</v>
      </c>
      <c r="D332" s="174">
        <v>45624</v>
      </c>
      <c r="E332" s="174">
        <v>45639</v>
      </c>
    </row>
    <row r="333" spans="1:5">
      <c r="A333" t="s">
        <v>984</v>
      </c>
      <c r="B333" s="328">
        <v>1</v>
      </c>
      <c r="C333" s="174">
        <v>45569</v>
      </c>
      <c r="D333" s="174">
        <v>45624</v>
      </c>
      <c r="E333" s="174">
        <v>45639</v>
      </c>
    </row>
    <row r="334" spans="1:5">
      <c r="A334" t="s">
        <v>985</v>
      </c>
      <c r="B334" s="328">
        <v>1</v>
      </c>
      <c r="C334" s="174">
        <v>45512</v>
      </c>
      <c r="D334" s="328"/>
      <c r="E334" s="328"/>
    </row>
    <row r="335" spans="1:5">
      <c r="A335" t="s">
        <v>986</v>
      </c>
      <c r="B335" s="328">
        <v>1</v>
      </c>
      <c r="C335" s="174">
        <v>45569</v>
      </c>
      <c r="D335" s="174">
        <v>45614</v>
      </c>
      <c r="E335" s="174">
        <v>45615</v>
      </c>
    </row>
    <row r="336" spans="1:5">
      <c r="A336" t="s">
        <v>987</v>
      </c>
      <c r="B336" s="328">
        <v>2</v>
      </c>
      <c r="C336" s="174">
        <v>45553</v>
      </c>
      <c r="D336" s="174">
        <v>45614</v>
      </c>
      <c r="E336" s="174">
        <v>45615</v>
      </c>
    </row>
    <row r="337" spans="1:5">
      <c r="A337" t="s">
        <v>988</v>
      </c>
      <c r="B337" s="328">
        <v>1</v>
      </c>
      <c r="C337" s="174">
        <v>45553</v>
      </c>
      <c r="D337" s="174">
        <v>45614</v>
      </c>
      <c r="E337" s="174">
        <v>45615</v>
      </c>
    </row>
    <row r="338" spans="1:5">
      <c r="A338" t="s">
        <v>989</v>
      </c>
      <c r="B338" s="328">
        <v>1</v>
      </c>
      <c r="C338" s="174">
        <v>45569</v>
      </c>
      <c r="D338" s="174">
        <v>45624</v>
      </c>
      <c r="E338" s="174">
        <v>45639</v>
      </c>
    </row>
    <row r="339" spans="1:5">
      <c r="A339" t="s">
        <v>990</v>
      </c>
      <c r="B339" s="328">
        <v>1</v>
      </c>
      <c r="C339" s="174">
        <v>45569</v>
      </c>
      <c r="D339" s="174">
        <v>45624</v>
      </c>
      <c r="E339" s="174">
        <v>45639</v>
      </c>
    </row>
    <row r="340" spans="1:5">
      <c r="A340" t="s">
        <v>991</v>
      </c>
      <c r="B340" s="328">
        <v>7</v>
      </c>
      <c r="C340" s="174">
        <v>45569</v>
      </c>
      <c r="D340" s="174">
        <v>45621</v>
      </c>
      <c r="E340" s="174">
        <v>45622</v>
      </c>
    </row>
    <row r="341" spans="1:5">
      <c r="A341" t="s">
        <v>992</v>
      </c>
      <c r="B341" s="328">
        <v>7</v>
      </c>
      <c r="C341" s="174">
        <v>45569</v>
      </c>
      <c r="D341" s="174">
        <v>45621</v>
      </c>
      <c r="E341" s="174">
        <v>45622</v>
      </c>
    </row>
    <row r="342" spans="1:5">
      <c r="A342" t="s">
        <v>993</v>
      </c>
      <c r="B342" s="328">
        <v>7</v>
      </c>
      <c r="C342" s="174">
        <v>45569</v>
      </c>
      <c r="D342" s="174">
        <v>45621</v>
      </c>
      <c r="E342" s="174">
        <v>45622</v>
      </c>
    </row>
    <row r="343" spans="1:5">
      <c r="A343" t="s">
        <v>994</v>
      </c>
      <c r="B343" s="328">
        <v>1</v>
      </c>
      <c r="C343" s="328"/>
      <c r="D343" s="328"/>
      <c r="E343" s="328"/>
    </row>
    <row r="344" spans="1:5">
      <c r="A344" t="s">
        <v>995</v>
      </c>
      <c r="B344" s="328">
        <v>7</v>
      </c>
      <c r="C344" s="174">
        <v>45569</v>
      </c>
      <c r="D344" s="174">
        <v>45621</v>
      </c>
      <c r="E344" s="174">
        <v>45622</v>
      </c>
    </row>
    <row r="345" spans="1:5">
      <c r="A345" t="s">
        <v>996</v>
      </c>
      <c r="B345" s="328">
        <v>7</v>
      </c>
      <c r="C345" s="174">
        <v>45569</v>
      </c>
      <c r="D345" s="174">
        <v>45621</v>
      </c>
      <c r="E345" s="174">
        <v>45622</v>
      </c>
    </row>
    <row r="346" spans="1:5">
      <c r="A346" t="s">
        <v>997</v>
      </c>
      <c r="B346" s="328">
        <v>7</v>
      </c>
      <c r="C346" s="174">
        <v>45569</v>
      </c>
      <c r="D346" s="174">
        <v>45621</v>
      </c>
      <c r="E346" s="174">
        <v>45622</v>
      </c>
    </row>
    <row r="347" spans="1:5">
      <c r="A347" t="s">
        <v>998</v>
      </c>
      <c r="B347" s="328">
        <v>1</v>
      </c>
      <c r="C347" s="328"/>
      <c r="D347" s="328"/>
      <c r="E347" s="328"/>
    </row>
    <row r="348" spans="1:5">
      <c r="A348" t="s">
        <v>999</v>
      </c>
      <c r="B348" s="328">
        <v>1</v>
      </c>
      <c r="C348" s="328"/>
      <c r="D348" s="328"/>
      <c r="E348" s="328"/>
    </row>
    <row r="349" spans="1:5">
      <c r="A349" t="s">
        <v>1000</v>
      </c>
      <c r="B349" s="328">
        <v>1</v>
      </c>
      <c r="C349" s="328"/>
      <c r="D349" s="328"/>
      <c r="E349" s="328"/>
    </row>
    <row r="350" spans="1:5">
      <c r="A350" t="s">
        <v>1001</v>
      </c>
      <c r="B350" s="328">
        <v>1</v>
      </c>
      <c r="C350" s="328"/>
      <c r="D350" s="328"/>
      <c r="E350" s="328"/>
    </row>
    <row r="351" spans="1:5">
      <c r="A351" t="s">
        <v>1002</v>
      </c>
      <c r="B351" s="328">
        <v>1</v>
      </c>
      <c r="C351" s="328"/>
      <c r="D351" s="328"/>
      <c r="E351" s="328"/>
    </row>
    <row r="352" spans="1:5">
      <c r="A352" t="s">
        <v>1003</v>
      </c>
      <c r="B352" s="328">
        <v>1</v>
      </c>
      <c r="C352" s="174">
        <v>45559</v>
      </c>
      <c r="D352" s="174">
        <v>45607</v>
      </c>
      <c r="E352" s="174">
        <v>45608</v>
      </c>
    </row>
    <row r="353" spans="1:5">
      <c r="A353" t="s">
        <v>1004</v>
      </c>
      <c r="B353" s="328">
        <v>1</v>
      </c>
      <c r="C353" s="174">
        <v>45560</v>
      </c>
      <c r="D353" s="174">
        <v>45607</v>
      </c>
      <c r="E353" s="174">
        <v>45608</v>
      </c>
    </row>
    <row r="354" spans="1:5">
      <c r="A354" t="s">
        <v>1005</v>
      </c>
      <c r="B354" s="328">
        <v>1</v>
      </c>
      <c r="C354" s="174">
        <v>45621</v>
      </c>
      <c r="D354" s="174">
        <v>45607</v>
      </c>
      <c r="E354" s="174">
        <v>45608</v>
      </c>
    </row>
    <row r="355" spans="1:5">
      <c r="A355" t="s">
        <v>1006</v>
      </c>
      <c r="B355" s="328">
        <v>1</v>
      </c>
      <c r="C355" s="174">
        <v>45621</v>
      </c>
      <c r="D355" s="174">
        <v>45607</v>
      </c>
      <c r="E355" s="174">
        <v>45608</v>
      </c>
    </row>
    <row r="356" spans="1:5">
      <c r="A356" t="s">
        <v>1007</v>
      </c>
      <c r="B356" s="328">
        <v>1</v>
      </c>
      <c r="C356" s="174">
        <v>45569</v>
      </c>
      <c r="D356" s="174">
        <v>45607</v>
      </c>
      <c r="E356" s="174">
        <v>45608</v>
      </c>
    </row>
    <row r="357" spans="1:5">
      <c r="A357" t="s">
        <v>1008</v>
      </c>
      <c r="B357" s="328">
        <v>1</v>
      </c>
      <c r="C357" s="328"/>
      <c r="D357" s="328"/>
      <c r="E357" s="328"/>
    </row>
    <row r="358" spans="1:5">
      <c r="A358" t="s">
        <v>1009</v>
      </c>
      <c r="B358" s="328">
        <v>1</v>
      </c>
      <c r="C358" s="174">
        <v>45621</v>
      </c>
      <c r="D358" s="174">
        <v>45607</v>
      </c>
      <c r="E358" s="174">
        <v>45608</v>
      </c>
    </row>
    <row r="359" spans="1:5">
      <c r="A359" t="s">
        <v>1010</v>
      </c>
      <c r="B359" s="328">
        <v>1</v>
      </c>
      <c r="C359" s="174">
        <v>45621</v>
      </c>
      <c r="D359" s="174">
        <v>45607</v>
      </c>
      <c r="E359" s="174">
        <v>45608</v>
      </c>
    </row>
    <row r="360" spans="1:5">
      <c r="A360" t="s">
        <v>1011</v>
      </c>
      <c r="B360" s="328">
        <v>1</v>
      </c>
      <c r="C360" s="174">
        <v>45569</v>
      </c>
      <c r="D360" s="174">
        <v>45607</v>
      </c>
      <c r="E360" s="174">
        <v>45608</v>
      </c>
    </row>
    <row r="361" spans="1:5">
      <c r="A361" t="s">
        <v>1012</v>
      </c>
      <c r="B361" s="328">
        <v>1</v>
      </c>
      <c r="C361" s="328"/>
      <c r="D361" s="328"/>
      <c r="E361" s="328"/>
    </row>
    <row r="362" spans="1:5">
      <c r="A362" t="s">
        <v>1013</v>
      </c>
      <c r="B362" s="328">
        <v>1</v>
      </c>
      <c r="C362" s="328"/>
      <c r="D362" s="328"/>
      <c r="E362" s="328"/>
    </row>
    <row r="363" spans="1:5">
      <c r="A363" t="s">
        <v>1014</v>
      </c>
      <c r="B363" s="328">
        <v>1</v>
      </c>
      <c r="C363" s="328"/>
      <c r="D363" s="328"/>
      <c r="E363" s="328"/>
    </row>
    <row r="364" spans="1:5">
      <c r="A364" t="s">
        <v>1015</v>
      </c>
      <c r="B364" s="328">
        <v>3</v>
      </c>
      <c r="C364" s="174">
        <v>45563</v>
      </c>
      <c r="D364" s="174">
        <v>45624</v>
      </c>
      <c r="E364" s="174">
        <v>45629</v>
      </c>
    </row>
    <row r="365" spans="1:5">
      <c r="A365" t="s">
        <v>1016</v>
      </c>
      <c r="B365" s="328">
        <v>3</v>
      </c>
      <c r="C365" s="174">
        <v>45563</v>
      </c>
      <c r="D365" s="174">
        <v>45624</v>
      </c>
      <c r="E365" s="174">
        <v>45629</v>
      </c>
    </row>
    <row r="366" spans="1:5">
      <c r="A366" t="s">
        <v>1017</v>
      </c>
      <c r="B366" s="328">
        <v>3</v>
      </c>
      <c r="C366" s="174">
        <v>45563</v>
      </c>
      <c r="D366" s="174">
        <v>45624</v>
      </c>
      <c r="E366" s="174">
        <v>45629</v>
      </c>
    </row>
    <row r="367" spans="1:5">
      <c r="A367" t="s">
        <v>1018</v>
      </c>
      <c r="B367" s="328">
        <v>3</v>
      </c>
      <c r="C367" s="174">
        <v>45563</v>
      </c>
      <c r="D367" s="174">
        <v>45624</v>
      </c>
      <c r="E367" s="174">
        <v>45629</v>
      </c>
    </row>
    <row r="368" spans="1:5">
      <c r="A368" t="s">
        <v>1019</v>
      </c>
      <c r="B368" s="328">
        <v>3</v>
      </c>
      <c r="C368" s="174">
        <v>45563</v>
      </c>
      <c r="D368" s="174">
        <v>45624</v>
      </c>
      <c r="E368" s="174">
        <v>45629</v>
      </c>
    </row>
    <row r="369" spans="1:5">
      <c r="A369" t="s">
        <v>1020</v>
      </c>
      <c r="B369" s="328">
        <v>3</v>
      </c>
      <c r="C369" s="174">
        <v>45563</v>
      </c>
      <c r="D369" s="174">
        <v>45624</v>
      </c>
      <c r="E369" s="174">
        <v>45629</v>
      </c>
    </row>
    <row r="370" spans="1:5">
      <c r="A370" t="s">
        <v>1021</v>
      </c>
      <c r="B370" s="328">
        <v>3</v>
      </c>
      <c r="C370" s="174">
        <v>45562</v>
      </c>
      <c r="D370" s="174">
        <v>45624</v>
      </c>
      <c r="E370" s="174">
        <v>45629</v>
      </c>
    </row>
    <row r="371" spans="1:5">
      <c r="A371" t="s">
        <v>1022</v>
      </c>
      <c r="B371" s="328">
        <v>3</v>
      </c>
      <c r="C371" s="174">
        <v>45563</v>
      </c>
      <c r="D371" s="174">
        <v>45624</v>
      </c>
      <c r="E371" s="174">
        <v>45629</v>
      </c>
    </row>
    <row r="372" spans="1:5">
      <c r="A372" t="s">
        <v>1023</v>
      </c>
      <c r="B372" s="328">
        <v>3</v>
      </c>
      <c r="C372" s="174">
        <v>45563</v>
      </c>
      <c r="D372" s="174">
        <v>45624</v>
      </c>
      <c r="E372" s="174">
        <v>45629</v>
      </c>
    </row>
    <row r="373" spans="1:5">
      <c r="A373" t="s">
        <v>1024</v>
      </c>
      <c r="B373" s="328">
        <v>3</v>
      </c>
      <c r="C373" s="174">
        <v>45563</v>
      </c>
      <c r="D373" s="174">
        <v>45624</v>
      </c>
      <c r="E373" s="174">
        <v>45629</v>
      </c>
    </row>
    <row r="374" spans="1:5">
      <c r="A374" t="s">
        <v>1025</v>
      </c>
      <c r="B374" s="328">
        <v>3</v>
      </c>
      <c r="C374" s="174">
        <v>45563</v>
      </c>
      <c r="D374" s="174">
        <v>45624</v>
      </c>
      <c r="E374" s="174">
        <v>45629</v>
      </c>
    </row>
    <row r="375" spans="1:5">
      <c r="A375" t="s">
        <v>1026</v>
      </c>
      <c r="B375" s="328">
        <v>0</v>
      </c>
      <c r="C375" s="174">
        <v>45562</v>
      </c>
      <c r="D375" s="328"/>
      <c r="E375" s="328"/>
    </row>
    <row r="376" spans="1:5">
      <c r="A376" t="s">
        <v>1027</v>
      </c>
      <c r="B376" s="328">
        <v>1</v>
      </c>
      <c r="C376" s="328"/>
      <c r="D376" s="328"/>
      <c r="E376" s="328"/>
    </row>
    <row r="377" spans="1:5">
      <c r="A377" t="s">
        <v>1028</v>
      </c>
      <c r="B377" s="328">
        <v>3</v>
      </c>
      <c r="C377" s="174">
        <v>45561</v>
      </c>
      <c r="D377" s="174">
        <v>45624</v>
      </c>
      <c r="E377" s="174">
        <v>45629</v>
      </c>
    </row>
    <row r="378" spans="1:5">
      <c r="A378" t="s">
        <v>1029</v>
      </c>
      <c r="B378" s="328">
        <v>3</v>
      </c>
      <c r="C378" s="174">
        <v>45561</v>
      </c>
      <c r="D378" s="174">
        <v>45624</v>
      </c>
      <c r="E378" s="174">
        <v>45629</v>
      </c>
    </row>
    <row r="379" spans="1:5">
      <c r="A379" t="s">
        <v>1030</v>
      </c>
      <c r="B379" s="328">
        <v>1</v>
      </c>
      <c r="C379" s="328"/>
      <c r="D379" s="174">
        <v>45603</v>
      </c>
      <c r="E379" s="328"/>
    </row>
    <row r="380" spans="1:5">
      <c r="A380" t="s">
        <v>1031</v>
      </c>
      <c r="B380" s="328">
        <v>1</v>
      </c>
      <c r="C380" s="328"/>
      <c r="D380" s="174">
        <v>45603</v>
      </c>
      <c r="E380" s="328"/>
    </row>
    <row r="381" spans="1:5">
      <c r="A381" t="s">
        <v>1032</v>
      </c>
      <c r="B381" s="328">
        <v>1</v>
      </c>
      <c r="C381" s="174">
        <v>45563</v>
      </c>
      <c r="D381" s="174">
        <v>45603</v>
      </c>
      <c r="E381" s="174">
        <v>45604</v>
      </c>
    </row>
    <row r="382" spans="1:5">
      <c r="A382" t="s">
        <v>1033</v>
      </c>
      <c r="B382" s="328">
        <v>1</v>
      </c>
      <c r="C382" s="328"/>
      <c r="D382" s="174">
        <v>45603</v>
      </c>
      <c r="E382" s="328"/>
    </row>
    <row r="383" spans="1:5">
      <c r="A383" t="s">
        <v>1034</v>
      </c>
      <c r="B383" s="328">
        <v>1</v>
      </c>
      <c r="C383" s="328"/>
      <c r="D383" s="174">
        <v>45603</v>
      </c>
      <c r="E383" s="328"/>
    </row>
    <row r="384" spans="1:5">
      <c r="A384" t="s">
        <v>1035</v>
      </c>
      <c r="B384" s="328">
        <v>1</v>
      </c>
      <c r="C384" s="328"/>
      <c r="D384" s="174">
        <v>45603</v>
      </c>
      <c r="E384" s="328"/>
    </row>
    <row r="385" spans="1:5">
      <c r="A385" t="s">
        <v>1036</v>
      </c>
      <c r="B385" s="328">
        <v>1</v>
      </c>
      <c r="C385" s="328"/>
      <c r="D385" s="174">
        <v>45603</v>
      </c>
      <c r="E385" s="328"/>
    </row>
    <row r="386" spans="1:5">
      <c r="A386" t="s">
        <v>1037</v>
      </c>
      <c r="B386" s="328">
        <v>1</v>
      </c>
      <c r="C386" s="328"/>
      <c r="D386" s="174">
        <v>45603</v>
      </c>
      <c r="E386" s="328"/>
    </row>
    <row r="387" spans="1:5">
      <c r="A387" t="s">
        <v>1038</v>
      </c>
      <c r="B387" s="328">
        <v>1</v>
      </c>
      <c r="C387" s="328"/>
      <c r="D387" s="174">
        <v>45603</v>
      </c>
      <c r="E387" s="328"/>
    </row>
    <row r="388" spans="1:5">
      <c r="A388" t="s">
        <v>1039</v>
      </c>
      <c r="B388" s="328">
        <v>1</v>
      </c>
      <c r="C388" s="174">
        <v>45563</v>
      </c>
      <c r="D388" s="174">
        <v>45603</v>
      </c>
      <c r="E388" s="174">
        <v>45604</v>
      </c>
    </row>
    <row r="389" spans="1:5">
      <c r="A389" t="s">
        <v>1040</v>
      </c>
      <c r="B389" s="328">
        <v>1</v>
      </c>
      <c r="C389" s="174">
        <v>45563</v>
      </c>
      <c r="D389" s="174">
        <v>45603</v>
      </c>
      <c r="E389" s="174">
        <v>45604</v>
      </c>
    </row>
    <row r="390" spans="1:5">
      <c r="A390" t="s">
        <v>1041</v>
      </c>
      <c r="B390" s="328">
        <v>1</v>
      </c>
      <c r="C390" s="174">
        <v>45563</v>
      </c>
      <c r="D390" s="174">
        <v>45603</v>
      </c>
      <c r="E390" s="174">
        <v>45604</v>
      </c>
    </row>
    <row r="391" spans="1:5">
      <c r="A391" t="s">
        <v>1042</v>
      </c>
      <c r="B391" s="328">
        <v>1</v>
      </c>
      <c r="C391" s="174">
        <v>45561</v>
      </c>
      <c r="D391" s="174">
        <v>45603</v>
      </c>
      <c r="E391" s="174">
        <v>45604</v>
      </c>
    </row>
    <row r="392" spans="1:5">
      <c r="A392" t="s">
        <v>1043</v>
      </c>
      <c r="B392" s="328">
        <v>1</v>
      </c>
      <c r="C392" s="174">
        <v>45561</v>
      </c>
      <c r="D392" s="174">
        <v>45603</v>
      </c>
      <c r="E392" s="174">
        <v>45604</v>
      </c>
    </row>
    <row r="393" spans="1:5">
      <c r="A393" t="s">
        <v>1044</v>
      </c>
      <c r="B393" s="328">
        <v>1</v>
      </c>
      <c r="C393" s="328"/>
      <c r="D393" s="174">
        <v>45603</v>
      </c>
      <c r="E393" s="328"/>
    </row>
    <row r="394" spans="1:5">
      <c r="A394" t="s">
        <v>1045</v>
      </c>
      <c r="B394" s="328">
        <v>1</v>
      </c>
      <c r="C394" s="328"/>
      <c r="D394" s="174">
        <v>45603</v>
      </c>
      <c r="E394" s="328"/>
    </row>
    <row r="395" spans="1:5">
      <c r="A395" t="s">
        <v>1046</v>
      </c>
      <c r="B395" s="328">
        <v>1</v>
      </c>
      <c r="C395" s="328"/>
      <c r="D395" s="174">
        <v>45603</v>
      </c>
      <c r="E395" s="328"/>
    </row>
    <row r="396" spans="1:5">
      <c r="A396" t="s">
        <v>1047</v>
      </c>
      <c r="B396" s="328">
        <v>1</v>
      </c>
      <c r="C396" s="174">
        <v>45563</v>
      </c>
      <c r="D396" s="174">
        <v>45603</v>
      </c>
      <c r="E396" s="174">
        <v>45604</v>
      </c>
    </row>
    <row r="397" spans="1:5">
      <c r="A397" t="s">
        <v>1048</v>
      </c>
      <c r="B397" s="328">
        <v>1</v>
      </c>
      <c r="C397" s="174">
        <v>45563</v>
      </c>
      <c r="D397" s="174">
        <v>45603</v>
      </c>
      <c r="E397" s="174">
        <v>45604</v>
      </c>
    </row>
    <row r="398" spans="1:5">
      <c r="A398" t="s">
        <v>1049</v>
      </c>
      <c r="B398" s="328">
        <v>1</v>
      </c>
      <c r="C398" s="174">
        <v>45563</v>
      </c>
      <c r="D398" s="174">
        <v>45603</v>
      </c>
      <c r="E398" s="174">
        <v>45604</v>
      </c>
    </row>
    <row r="399" spans="1:5">
      <c r="A399" t="s">
        <v>1050</v>
      </c>
      <c r="B399" s="328">
        <v>0</v>
      </c>
      <c r="C399" s="174">
        <v>45561</v>
      </c>
      <c r="D399" s="328"/>
      <c r="E399" s="328"/>
    </row>
    <row r="400" spans="1:5">
      <c r="A400" t="s">
        <v>1051</v>
      </c>
      <c r="B400" s="328">
        <v>5</v>
      </c>
      <c r="C400" s="174">
        <v>45563</v>
      </c>
      <c r="D400" s="174">
        <v>45603</v>
      </c>
      <c r="E400" s="174">
        <v>45604</v>
      </c>
    </row>
    <row r="401" spans="1:5">
      <c r="A401" t="s">
        <v>1052</v>
      </c>
      <c r="B401" s="328">
        <v>1</v>
      </c>
      <c r="C401" s="174">
        <v>45563</v>
      </c>
      <c r="D401" s="174">
        <v>45603</v>
      </c>
      <c r="E401" s="174">
        <v>45604</v>
      </c>
    </row>
    <row r="402" spans="1:5">
      <c r="A402" t="s">
        <v>1053</v>
      </c>
      <c r="B402" s="328">
        <v>1</v>
      </c>
      <c r="C402" s="174">
        <v>45563</v>
      </c>
      <c r="D402" s="174">
        <v>45603</v>
      </c>
      <c r="E402" s="174">
        <v>45604</v>
      </c>
    </row>
    <row r="403" spans="1:5">
      <c r="A403" t="s">
        <v>1054</v>
      </c>
      <c r="B403" s="328">
        <v>1</v>
      </c>
      <c r="C403" s="174">
        <v>45563</v>
      </c>
      <c r="D403" s="174">
        <v>45603</v>
      </c>
      <c r="E403" s="174">
        <v>45604</v>
      </c>
    </row>
    <row r="404" spans="1:5">
      <c r="A404" t="s">
        <v>1055</v>
      </c>
      <c r="B404" s="328">
        <v>1</v>
      </c>
      <c r="C404" s="174">
        <v>45563</v>
      </c>
      <c r="D404" s="174">
        <v>45603</v>
      </c>
      <c r="E404" s="174">
        <v>45604</v>
      </c>
    </row>
    <row r="405" spans="1:5">
      <c r="A405" t="s">
        <v>1056</v>
      </c>
      <c r="B405" s="328">
        <v>0</v>
      </c>
      <c r="C405" s="174">
        <v>45561</v>
      </c>
      <c r="D405" s="328"/>
      <c r="E405" s="328"/>
    </row>
    <row r="406" spans="1:5">
      <c r="A406" t="s">
        <v>1057</v>
      </c>
      <c r="B406" s="328">
        <v>1</v>
      </c>
      <c r="C406" s="328"/>
      <c r="D406" s="174">
        <v>45603</v>
      </c>
      <c r="E406" s="328"/>
    </row>
    <row r="407" spans="1:5">
      <c r="A407" t="s">
        <v>1058</v>
      </c>
      <c r="B407" s="328">
        <v>1</v>
      </c>
      <c r="C407" s="174">
        <v>45563</v>
      </c>
      <c r="D407" s="174">
        <v>45603</v>
      </c>
      <c r="E407" s="174">
        <v>45604</v>
      </c>
    </row>
    <row r="408" spans="1:5">
      <c r="A408" t="s">
        <v>1059</v>
      </c>
      <c r="B408" s="328">
        <v>1</v>
      </c>
      <c r="C408" s="174">
        <v>45563</v>
      </c>
      <c r="D408" s="174">
        <v>45603</v>
      </c>
      <c r="E408" s="174">
        <v>45604</v>
      </c>
    </row>
    <row r="409" spans="1:5">
      <c r="A409" t="s">
        <v>1060</v>
      </c>
      <c r="B409" s="328">
        <v>1</v>
      </c>
      <c r="C409" s="174">
        <v>45563</v>
      </c>
      <c r="D409" s="174">
        <v>45603</v>
      </c>
      <c r="E409" s="174">
        <v>45604</v>
      </c>
    </row>
    <row r="410" spans="1:5">
      <c r="A410" t="s">
        <v>1061</v>
      </c>
      <c r="B410" s="328">
        <v>1</v>
      </c>
      <c r="C410" s="328"/>
      <c r="D410" s="328"/>
      <c r="E410" s="328"/>
    </row>
    <row r="411" spans="1:5">
      <c r="A411" t="s">
        <v>1062</v>
      </c>
      <c r="B411" s="328">
        <v>0</v>
      </c>
      <c r="C411" s="328"/>
      <c r="D411" s="328"/>
      <c r="E411" s="328"/>
    </row>
    <row r="412" spans="1:5">
      <c r="A412" t="s">
        <v>1063</v>
      </c>
      <c r="B412" s="328">
        <v>1</v>
      </c>
      <c r="C412" s="328"/>
      <c r="D412" s="328"/>
      <c r="E412" s="328"/>
    </row>
    <row r="413" spans="1:5">
      <c r="A413" t="s">
        <v>1064</v>
      </c>
      <c r="B413" s="328">
        <v>1</v>
      </c>
      <c r="C413" s="328"/>
      <c r="D413" s="328"/>
      <c r="E413" s="328"/>
    </row>
    <row r="414" spans="1:5">
      <c r="A414" t="s">
        <v>1065</v>
      </c>
      <c r="B414" s="328">
        <v>1</v>
      </c>
      <c r="C414" s="328"/>
      <c r="D414" s="328"/>
      <c r="E414" s="328"/>
    </row>
    <row r="415" spans="1:5">
      <c r="A415" t="s">
        <v>1066</v>
      </c>
      <c r="B415" s="328">
        <v>1</v>
      </c>
      <c r="C415" s="328"/>
      <c r="D415" s="328"/>
      <c r="E415" s="328"/>
    </row>
    <row r="416" spans="1:5">
      <c r="A416" t="s">
        <v>1067</v>
      </c>
      <c r="B416" s="328">
        <v>1</v>
      </c>
      <c r="C416" s="328"/>
      <c r="D416" s="328"/>
      <c r="E416" s="328"/>
    </row>
    <row r="417" spans="1:5">
      <c r="A417" t="s">
        <v>1068</v>
      </c>
      <c r="B417" s="328">
        <v>1</v>
      </c>
      <c r="C417" s="328"/>
      <c r="D417" s="328"/>
      <c r="E417" s="328"/>
    </row>
    <row r="418" spans="1:5">
      <c r="A418" t="s">
        <v>1069</v>
      </c>
      <c r="B418" s="328">
        <v>1</v>
      </c>
      <c r="C418" s="328"/>
      <c r="D418" s="328"/>
      <c r="E418" s="328"/>
    </row>
    <row r="419" spans="1:5">
      <c r="A419" t="s">
        <v>1070</v>
      </c>
      <c r="B419" s="328">
        <v>1</v>
      </c>
      <c r="C419" s="328"/>
      <c r="D419" s="328"/>
      <c r="E419" s="328"/>
    </row>
    <row r="420" spans="1:5">
      <c r="A420" t="s">
        <v>1071</v>
      </c>
      <c r="B420" s="328">
        <v>1</v>
      </c>
      <c r="C420" s="328"/>
      <c r="D420" s="328"/>
      <c r="E420" s="328"/>
    </row>
    <row r="421" spans="1:5">
      <c r="A421" t="s">
        <v>1072</v>
      </c>
      <c r="B421" s="328">
        <v>1</v>
      </c>
      <c r="C421" s="328"/>
      <c r="D421" s="328"/>
      <c r="E421" s="328"/>
    </row>
    <row r="422" spans="1:5">
      <c r="A422" t="s">
        <v>1073</v>
      </c>
      <c r="B422" s="328">
        <v>1</v>
      </c>
      <c r="C422" s="328"/>
      <c r="D422" s="328"/>
      <c r="E422" s="328"/>
    </row>
    <row r="423" spans="1:5">
      <c r="A423" t="s">
        <v>1074</v>
      </c>
      <c r="B423" s="328">
        <v>1</v>
      </c>
      <c r="C423" s="328"/>
      <c r="D423" s="328"/>
      <c r="E423" s="328"/>
    </row>
    <row r="424" spans="1:5">
      <c r="A424" t="s">
        <v>1075</v>
      </c>
      <c r="B424" s="328">
        <v>1</v>
      </c>
      <c r="C424" s="328"/>
      <c r="D424" s="328"/>
      <c r="E424" s="328"/>
    </row>
    <row r="425" spans="1:5">
      <c r="A425" t="s">
        <v>1076</v>
      </c>
      <c r="B425" s="328">
        <v>1</v>
      </c>
      <c r="C425" s="328"/>
      <c r="D425" s="328"/>
      <c r="E425" s="328"/>
    </row>
    <row r="426" spans="1:5">
      <c r="A426" t="s">
        <v>1077</v>
      </c>
      <c r="B426" s="328">
        <v>0</v>
      </c>
      <c r="C426" s="328"/>
      <c r="D426" s="328"/>
      <c r="E426" s="328"/>
    </row>
    <row r="427" spans="1:5">
      <c r="A427" t="s">
        <v>1078</v>
      </c>
      <c r="B427" s="328">
        <v>1</v>
      </c>
      <c r="C427" s="174">
        <v>45512</v>
      </c>
      <c r="D427" s="174">
        <v>45526</v>
      </c>
      <c r="E427" s="328"/>
    </row>
    <row r="428" spans="1:5">
      <c r="A428" t="s">
        <v>1079</v>
      </c>
      <c r="B428" s="328">
        <v>1</v>
      </c>
      <c r="C428" s="328"/>
      <c r="D428" s="328"/>
      <c r="E428" s="328"/>
    </row>
    <row r="429" spans="1:5">
      <c r="A429" t="s">
        <v>1080</v>
      </c>
      <c r="B429" s="328">
        <v>1</v>
      </c>
      <c r="C429" s="328"/>
      <c r="D429" s="328"/>
      <c r="E429" s="328"/>
    </row>
    <row r="430" spans="1:5">
      <c r="A430" t="s">
        <v>1081</v>
      </c>
      <c r="B430" s="328">
        <v>1</v>
      </c>
      <c r="C430" s="328"/>
      <c r="D430" s="328"/>
      <c r="E430" s="328"/>
    </row>
    <row r="431" spans="1:5">
      <c r="A431" t="s">
        <v>1082</v>
      </c>
      <c r="B431" s="328">
        <v>0</v>
      </c>
      <c r="C431" s="328"/>
      <c r="D431" s="328"/>
      <c r="E431" s="328"/>
    </row>
    <row r="432" spans="1:5">
      <c r="A432" t="s">
        <v>1083</v>
      </c>
      <c r="B432" s="328">
        <v>0</v>
      </c>
      <c r="C432" s="328"/>
      <c r="D432" s="328"/>
      <c r="E432" s="328"/>
    </row>
    <row r="433" spans="1:5">
      <c r="A433" t="s">
        <v>1084</v>
      </c>
      <c r="B433" s="328">
        <v>1</v>
      </c>
      <c r="C433" s="328"/>
      <c r="D433" s="328"/>
      <c r="E433" s="328"/>
    </row>
    <row r="434" spans="1:5">
      <c r="A434" t="s">
        <v>1085</v>
      </c>
      <c r="B434" s="328">
        <v>0</v>
      </c>
      <c r="C434" s="328"/>
      <c r="D434" s="328"/>
      <c r="E434" s="328"/>
    </row>
    <row r="435" spans="1:5">
      <c r="A435" t="s">
        <v>1086</v>
      </c>
      <c r="B435" s="328">
        <v>1</v>
      </c>
      <c r="C435" s="328"/>
      <c r="D435" s="328"/>
      <c r="E435" s="328"/>
    </row>
    <row r="436" spans="1:5">
      <c r="A436" t="s">
        <v>1087</v>
      </c>
      <c r="B436" s="328">
        <v>1</v>
      </c>
      <c r="C436" s="328"/>
      <c r="D436" s="328"/>
      <c r="E436" s="328"/>
    </row>
    <row r="437" spans="1:5">
      <c r="A437" t="s">
        <v>1088</v>
      </c>
      <c r="B437" s="328">
        <v>1</v>
      </c>
      <c r="C437" s="328"/>
      <c r="D437" s="328"/>
      <c r="E437" s="328"/>
    </row>
    <row r="438" spans="1:5">
      <c r="A438" t="s">
        <v>1089</v>
      </c>
      <c r="B438" s="328">
        <v>1</v>
      </c>
      <c r="C438" s="328"/>
      <c r="D438" s="328"/>
      <c r="E438" s="328"/>
    </row>
    <row r="439" spans="1:5">
      <c r="A439" t="s">
        <v>1090</v>
      </c>
      <c r="B439" s="328">
        <v>1</v>
      </c>
      <c r="C439" s="328"/>
      <c r="D439" s="328"/>
      <c r="E439" s="328"/>
    </row>
    <row r="440" spans="1:5">
      <c r="A440" t="s">
        <v>1091</v>
      </c>
      <c r="B440" s="328">
        <v>1</v>
      </c>
      <c r="C440" s="328"/>
      <c r="D440" s="328"/>
      <c r="E440" s="328"/>
    </row>
    <row r="441" spans="1:5">
      <c r="A441" t="s">
        <v>1092</v>
      </c>
      <c r="B441" s="328">
        <v>1</v>
      </c>
      <c r="C441" s="328"/>
      <c r="D441" s="328"/>
      <c r="E441" s="328"/>
    </row>
    <row r="442" spans="1:5">
      <c r="A442" t="s">
        <v>1093</v>
      </c>
      <c r="B442" s="328">
        <v>1</v>
      </c>
      <c r="C442" s="328"/>
      <c r="D442" s="328"/>
      <c r="E442" s="328"/>
    </row>
    <row r="443" spans="1:5">
      <c r="A443" t="s">
        <v>1094</v>
      </c>
      <c r="B443" s="328">
        <v>1</v>
      </c>
      <c r="C443" s="328"/>
      <c r="D443" s="328"/>
      <c r="E443" s="328"/>
    </row>
    <row r="444" spans="1:5">
      <c r="A444" t="s">
        <v>1095</v>
      </c>
      <c r="B444" s="328">
        <v>1</v>
      </c>
      <c r="C444" s="328"/>
      <c r="D444" s="328"/>
      <c r="E444" s="174">
        <v>45639</v>
      </c>
    </row>
    <row r="445" spans="1:5">
      <c r="A445" t="s">
        <v>1096</v>
      </c>
      <c r="B445" s="328">
        <v>1</v>
      </c>
      <c r="C445" s="328"/>
      <c r="D445" s="328"/>
      <c r="E445" s="174">
        <v>45639</v>
      </c>
    </row>
    <row r="446" spans="1:5">
      <c r="A446" t="s">
        <v>1097</v>
      </c>
      <c r="B446" s="328">
        <v>1</v>
      </c>
      <c r="C446" s="328"/>
      <c r="D446" s="328"/>
      <c r="E446" s="328"/>
    </row>
    <row r="447" spans="1:5">
      <c r="A447" t="s">
        <v>1098</v>
      </c>
      <c r="B447" s="328">
        <v>1</v>
      </c>
      <c r="C447" s="328"/>
      <c r="D447" s="328"/>
      <c r="E447" s="328"/>
    </row>
    <row r="448" spans="1:5">
      <c r="A448" t="s">
        <v>1099</v>
      </c>
      <c r="B448" s="328">
        <v>1</v>
      </c>
      <c r="C448" s="328"/>
      <c r="D448" s="328"/>
      <c r="E448" s="328"/>
    </row>
    <row r="449" spans="1:5">
      <c r="A449" t="s">
        <v>1100</v>
      </c>
      <c r="B449" s="328">
        <v>1</v>
      </c>
      <c r="C449" s="328"/>
      <c r="D449" s="328"/>
      <c r="E449" s="174">
        <v>45639</v>
      </c>
    </row>
    <row r="450" spans="1:5">
      <c r="A450" t="s">
        <v>1101</v>
      </c>
      <c r="B450" s="328">
        <v>1</v>
      </c>
      <c r="C450" s="328"/>
      <c r="D450" s="328"/>
      <c r="E450" s="328"/>
    </row>
    <row r="451" spans="1:5">
      <c r="A451" t="s">
        <v>1102</v>
      </c>
      <c r="B451" s="328">
        <v>1</v>
      </c>
      <c r="C451" s="328"/>
      <c r="D451" s="328"/>
      <c r="E451" s="174">
        <v>45639</v>
      </c>
    </row>
    <row r="452" spans="1:5">
      <c r="A452" t="s">
        <v>1103</v>
      </c>
      <c r="B452" s="328">
        <v>1</v>
      </c>
      <c r="C452" s="328"/>
      <c r="D452" s="328"/>
      <c r="E452" s="174">
        <v>45639</v>
      </c>
    </row>
    <row r="453" spans="1:5">
      <c r="A453" t="s">
        <v>1104</v>
      </c>
      <c r="B453" s="328">
        <v>1</v>
      </c>
      <c r="C453" s="328"/>
      <c r="D453" s="328"/>
      <c r="E453" s="328"/>
    </row>
    <row r="454" spans="1:5">
      <c r="A454" t="s">
        <v>1105</v>
      </c>
      <c r="B454" s="328">
        <v>1</v>
      </c>
      <c r="C454" s="328"/>
      <c r="D454" s="328"/>
      <c r="E454" s="328"/>
    </row>
    <row r="455" spans="1:5">
      <c r="A455" t="s">
        <v>1106</v>
      </c>
      <c r="B455" s="328">
        <v>1</v>
      </c>
      <c r="C455" s="328"/>
      <c r="D455" s="328"/>
      <c r="E455" s="328"/>
    </row>
    <row r="456" spans="1:5">
      <c r="A456" t="s">
        <v>1107</v>
      </c>
      <c r="B456" s="328">
        <v>1</v>
      </c>
      <c r="C456" s="328"/>
      <c r="D456" s="328"/>
      <c r="E456" s="174">
        <v>45639</v>
      </c>
    </row>
    <row r="457" spans="1:5">
      <c r="A457" t="s">
        <v>1108</v>
      </c>
      <c r="B457" s="328">
        <v>1</v>
      </c>
      <c r="C457" s="328"/>
      <c r="D457" s="328"/>
      <c r="E457" s="328"/>
    </row>
    <row r="458" spans="1:5">
      <c r="A458" t="s">
        <v>1109</v>
      </c>
      <c r="B458" s="328">
        <v>1</v>
      </c>
      <c r="C458" s="328"/>
      <c r="D458" s="328"/>
      <c r="E458" s="328"/>
    </row>
    <row r="459" spans="1:5">
      <c r="A459" t="s">
        <v>1110</v>
      </c>
      <c r="B459" s="328">
        <v>1</v>
      </c>
      <c r="C459" s="328"/>
      <c r="D459" s="328"/>
      <c r="E459" s="328"/>
    </row>
    <row r="460" spans="1:5">
      <c r="A460" t="s">
        <v>1111</v>
      </c>
      <c r="B460" s="328">
        <v>1</v>
      </c>
      <c r="C460" s="328"/>
      <c r="D460" s="328"/>
      <c r="E460" s="174">
        <v>45639</v>
      </c>
    </row>
    <row r="461" spans="1:5">
      <c r="A461" t="s">
        <v>1112</v>
      </c>
      <c r="B461" s="328">
        <v>1</v>
      </c>
      <c r="C461" s="328"/>
      <c r="D461" s="328"/>
      <c r="E461" s="328"/>
    </row>
    <row r="462" spans="1:5">
      <c r="A462" t="s">
        <v>1113</v>
      </c>
      <c r="B462" s="328">
        <v>1</v>
      </c>
      <c r="C462" s="328"/>
      <c r="D462" s="328"/>
      <c r="E462" s="328"/>
    </row>
    <row r="463" spans="1:5">
      <c r="A463" t="s">
        <v>1114</v>
      </c>
      <c r="B463" s="328">
        <v>1</v>
      </c>
      <c r="C463" s="328"/>
      <c r="D463" s="328"/>
      <c r="E463" s="328"/>
    </row>
    <row r="464" spans="1:5">
      <c r="A464" t="s">
        <v>1115</v>
      </c>
      <c r="B464" s="328">
        <v>1</v>
      </c>
      <c r="C464" s="328"/>
      <c r="D464" s="328"/>
      <c r="E464" s="174">
        <v>45639</v>
      </c>
    </row>
    <row r="465" spans="1:5">
      <c r="A465" t="s">
        <v>1116</v>
      </c>
      <c r="B465" s="328">
        <v>1</v>
      </c>
      <c r="C465" s="328"/>
      <c r="D465" s="328"/>
      <c r="E465" s="174">
        <v>45639</v>
      </c>
    </row>
    <row r="466" spans="1:5">
      <c r="A466" t="s">
        <v>1117</v>
      </c>
      <c r="B466" s="328">
        <v>1</v>
      </c>
      <c r="C466" s="328"/>
      <c r="D466" s="328"/>
      <c r="E466" s="328"/>
    </row>
    <row r="467" spans="1:5">
      <c r="A467" t="s">
        <v>1118</v>
      </c>
      <c r="B467" s="328">
        <v>1</v>
      </c>
      <c r="C467" s="328"/>
      <c r="D467" s="328"/>
      <c r="E467" s="174">
        <v>45639</v>
      </c>
    </row>
    <row r="468" spans="1:5">
      <c r="A468" t="s">
        <v>1119</v>
      </c>
      <c r="B468" s="328">
        <v>1</v>
      </c>
      <c r="C468" s="328"/>
      <c r="D468" s="328"/>
      <c r="E468" s="174">
        <v>45639</v>
      </c>
    </row>
    <row r="469" spans="1:5">
      <c r="A469" t="s">
        <v>1120</v>
      </c>
      <c r="B469" s="328">
        <v>1</v>
      </c>
      <c r="C469" s="328"/>
      <c r="D469" s="328"/>
      <c r="E469" s="174">
        <v>45639</v>
      </c>
    </row>
    <row r="470" spans="1:5">
      <c r="A470" t="s">
        <v>1121</v>
      </c>
      <c r="B470" s="328">
        <v>1</v>
      </c>
      <c r="C470" s="328"/>
      <c r="D470" s="328"/>
      <c r="E470" s="174">
        <v>45639</v>
      </c>
    </row>
    <row r="471" spans="1:5">
      <c r="A471" t="s">
        <v>1122</v>
      </c>
      <c r="B471" s="328">
        <v>1</v>
      </c>
      <c r="C471" s="328"/>
      <c r="D471" s="328"/>
      <c r="E471" s="328"/>
    </row>
    <row r="472" spans="1:5">
      <c r="A472" t="s">
        <v>1123</v>
      </c>
      <c r="B472" s="328">
        <v>1</v>
      </c>
      <c r="C472" s="328"/>
      <c r="D472" s="328"/>
      <c r="E472" s="328"/>
    </row>
    <row r="473" spans="1:5">
      <c r="A473" t="s">
        <v>1124</v>
      </c>
      <c r="B473" s="328">
        <v>1</v>
      </c>
      <c r="C473" s="328"/>
      <c r="D473" s="328"/>
      <c r="E473" s="174">
        <v>45639</v>
      </c>
    </row>
    <row r="474" spans="1:5">
      <c r="A474" t="s">
        <v>1125</v>
      </c>
      <c r="B474" s="328">
        <v>1</v>
      </c>
      <c r="C474" s="328"/>
      <c r="D474" s="328"/>
      <c r="E474" s="174">
        <v>45639</v>
      </c>
    </row>
    <row r="475" spans="1:5">
      <c r="A475" t="s">
        <v>1126</v>
      </c>
      <c r="B475" s="328">
        <v>1</v>
      </c>
      <c r="C475" s="328"/>
      <c r="D475" s="328"/>
      <c r="E475" s="328"/>
    </row>
    <row r="476" spans="1:5">
      <c r="A476" t="s">
        <v>1127</v>
      </c>
      <c r="B476" s="328">
        <v>1</v>
      </c>
      <c r="C476" s="328"/>
      <c r="D476" s="328"/>
      <c r="E476" s="174">
        <v>45639</v>
      </c>
    </row>
    <row r="477" spans="1:5">
      <c r="A477" t="s">
        <v>1128</v>
      </c>
      <c r="B477" s="328">
        <v>1</v>
      </c>
      <c r="C477" s="328"/>
      <c r="D477" s="328"/>
      <c r="E477" s="174">
        <v>45639</v>
      </c>
    </row>
    <row r="478" spans="1:5">
      <c r="A478" t="s">
        <v>1129</v>
      </c>
      <c r="B478" s="328">
        <v>1</v>
      </c>
      <c r="C478" s="328"/>
      <c r="D478" s="328"/>
      <c r="E478" s="328"/>
    </row>
    <row r="479" spans="1:5">
      <c r="A479" t="s">
        <v>1130</v>
      </c>
      <c r="B479" s="328">
        <v>1</v>
      </c>
      <c r="C479" s="328"/>
      <c r="D479" s="328"/>
      <c r="E479" s="328"/>
    </row>
    <row r="480" spans="1:5">
      <c r="A480" t="s">
        <v>1131</v>
      </c>
      <c r="B480" s="328">
        <v>1</v>
      </c>
      <c r="C480" s="328"/>
      <c r="D480" s="328"/>
      <c r="E480" s="328"/>
    </row>
    <row r="481" spans="1:5">
      <c r="A481" t="s">
        <v>1132</v>
      </c>
      <c r="B481" s="328">
        <v>1</v>
      </c>
      <c r="C481" s="328"/>
      <c r="D481" s="328"/>
      <c r="E481" s="328"/>
    </row>
    <row r="482" spans="1:5">
      <c r="A482" t="s">
        <v>1133</v>
      </c>
      <c r="B482" s="328">
        <v>1</v>
      </c>
      <c r="C482" s="328"/>
      <c r="D482" s="328"/>
      <c r="E482" s="328"/>
    </row>
    <row r="483" spans="1:5">
      <c r="A483" t="s">
        <v>1134</v>
      </c>
      <c r="B483" s="328">
        <v>1</v>
      </c>
      <c r="C483" s="328"/>
      <c r="D483" s="328"/>
      <c r="E483" s="328"/>
    </row>
    <row r="484" spans="1:5">
      <c r="A484" t="s">
        <v>1135</v>
      </c>
      <c r="B484" s="328">
        <v>1</v>
      </c>
      <c r="C484" s="328"/>
      <c r="D484" s="328"/>
      <c r="E484" s="328"/>
    </row>
    <row r="485" spans="1:5">
      <c r="A485" t="s">
        <v>1136</v>
      </c>
      <c r="B485" s="328">
        <v>1</v>
      </c>
      <c r="C485" s="328"/>
      <c r="D485" s="328"/>
      <c r="E485" s="328"/>
    </row>
    <row r="486" spans="1:5">
      <c r="A486" t="s">
        <v>1137</v>
      </c>
      <c r="B486" s="328">
        <v>1</v>
      </c>
      <c r="C486" s="328"/>
      <c r="D486" s="328"/>
      <c r="E486" s="328"/>
    </row>
    <row r="487" spans="1:5">
      <c r="A487" t="s">
        <v>1138</v>
      </c>
      <c r="B487" s="328">
        <v>1</v>
      </c>
      <c r="C487" s="328"/>
      <c r="D487" s="328"/>
      <c r="E487" s="328"/>
    </row>
    <row r="488" spans="1:5">
      <c r="A488" t="s">
        <v>1139</v>
      </c>
      <c r="B488" s="328">
        <v>1</v>
      </c>
      <c r="C488" s="328"/>
      <c r="D488" s="328"/>
      <c r="E488" s="174">
        <v>45639</v>
      </c>
    </row>
    <row r="489" spans="1:5">
      <c r="A489" t="s">
        <v>1140</v>
      </c>
      <c r="B489" s="328">
        <v>1</v>
      </c>
      <c r="C489" s="328"/>
      <c r="D489" s="328"/>
      <c r="E489" s="328"/>
    </row>
    <row r="490" spans="1:5">
      <c r="A490" t="s">
        <v>1141</v>
      </c>
      <c r="B490" s="328">
        <v>1</v>
      </c>
      <c r="C490" s="328"/>
      <c r="D490" s="328"/>
      <c r="E490" s="328"/>
    </row>
    <row r="491" spans="1:5">
      <c r="A491" t="s">
        <v>1142</v>
      </c>
      <c r="B491" s="328">
        <v>1</v>
      </c>
      <c r="C491" s="328"/>
      <c r="D491" s="328"/>
      <c r="E491" s="328"/>
    </row>
    <row r="492" spans="1:5">
      <c r="A492" t="s">
        <v>1143</v>
      </c>
      <c r="B492" s="328">
        <v>1</v>
      </c>
      <c r="C492" s="328"/>
      <c r="D492" s="328"/>
      <c r="E492" s="174">
        <v>45639</v>
      </c>
    </row>
    <row r="493" spans="1:5">
      <c r="A493" t="s">
        <v>1144</v>
      </c>
      <c r="B493" s="328">
        <v>1</v>
      </c>
      <c r="C493" s="328"/>
      <c r="D493" s="328"/>
      <c r="E493" s="174">
        <v>45639</v>
      </c>
    </row>
    <row r="494" spans="1:5">
      <c r="A494" t="s">
        <v>1145</v>
      </c>
      <c r="B494" s="328">
        <v>1</v>
      </c>
      <c r="C494" s="328"/>
      <c r="D494" s="328"/>
      <c r="E494" s="328"/>
    </row>
    <row r="495" spans="1:5">
      <c r="A495" t="s">
        <v>1146</v>
      </c>
      <c r="B495" s="328">
        <v>1</v>
      </c>
      <c r="C495" s="328"/>
      <c r="D495" s="328"/>
      <c r="E495" s="328"/>
    </row>
    <row r="496" spans="1:5">
      <c r="A496" t="s">
        <v>1147</v>
      </c>
      <c r="B496" s="328">
        <v>1</v>
      </c>
      <c r="C496" s="328"/>
      <c r="D496" s="328"/>
      <c r="E496" s="328"/>
    </row>
    <row r="497" spans="1:5">
      <c r="A497" t="s">
        <v>1148</v>
      </c>
      <c r="B497" s="328">
        <v>1</v>
      </c>
      <c r="C497" s="328"/>
      <c r="D497" s="328"/>
      <c r="E497" s="328"/>
    </row>
    <row r="498" spans="1:5">
      <c r="A498" t="s">
        <v>1149</v>
      </c>
      <c r="B498" s="328">
        <v>1</v>
      </c>
      <c r="C498" s="328"/>
      <c r="D498" s="328"/>
      <c r="E498" s="174">
        <v>45639</v>
      </c>
    </row>
    <row r="499" spans="1:5">
      <c r="A499" t="s">
        <v>1150</v>
      </c>
      <c r="B499" s="328">
        <v>1</v>
      </c>
      <c r="C499" s="328"/>
      <c r="D499" s="328"/>
      <c r="E499" s="328"/>
    </row>
    <row r="500" spans="1:5">
      <c r="A500" t="s">
        <v>1151</v>
      </c>
      <c r="B500" s="328">
        <v>1</v>
      </c>
      <c r="C500" s="328"/>
      <c r="D500" s="328"/>
      <c r="E500" s="328"/>
    </row>
    <row r="501" spans="1:5">
      <c r="A501" t="s">
        <v>1152</v>
      </c>
      <c r="B501" s="328">
        <v>1</v>
      </c>
      <c r="C501" s="328"/>
      <c r="D501" s="328"/>
      <c r="E501" s="328"/>
    </row>
    <row r="502" spans="1:5">
      <c r="A502" t="s">
        <v>1153</v>
      </c>
      <c r="B502" s="328">
        <v>1</v>
      </c>
      <c r="C502" s="328"/>
      <c r="D502" s="328"/>
      <c r="E502" s="174">
        <v>45639</v>
      </c>
    </row>
    <row r="503" spans="1:5">
      <c r="A503" t="s">
        <v>1154</v>
      </c>
      <c r="B503" s="328">
        <v>1</v>
      </c>
      <c r="C503" s="328"/>
      <c r="D503" s="328"/>
      <c r="E503" s="328"/>
    </row>
    <row r="504" spans="1:5">
      <c r="A504" t="s">
        <v>1155</v>
      </c>
      <c r="B504" s="328">
        <v>1</v>
      </c>
      <c r="C504" s="328"/>
      <c r="D504" s="328"/>
      <c r="E504" s="328"/>
    </row>
    <row r="505" spans="1:5">
      <c r="A505" t="s">
        <v>1156</v>
      </c>
      <c r="B505" s="328">
        <v>1</v>
      </c>
      <c r="C505" s="328"/>
      <c r="D505" s="328"/>
      <c r="E505" s="328"/>
    </row>
    <row r="506" spans="1:5">
      <c r="A506" t="s">
        <v>1157</v>
      </c>
      <c r="B506" s="328">
        <v>1</v>
      </c>
      <c r="C506" s="328"/>
      <c r="D506" s="328"/>
      <c r="E506" s="328"/>
    </row>
    <row r="507" spans="1:5">
      <c r="A507" t="s">
        <v>1158</v>
      </c>
      <c r="B507" s="328">
        <v>1</v>
      </c>
      <c r="C507" s="328"/>
      <c r="D507" s="328"/>
      <c r="E507" s="328"/>
    </row>
    <row r="508" spans="1:5">
      <c r="A508" t="s">
        <v>1159</v>
      </c>
      <c r="B508" s="328">
        <v>1</v>
      </c>
      <c r="C508" s="328"/>
      <c r="D508" s="328"/>
      <c r="E508" s="328"/>
    </row>
    <row r="509" spans="1:5">
      <c r="A509" t="s">
        <v>1160</v>
      </c>
      <c r="B509" s="328">
        <v>1</v>
      </c>
      <c r="C509" s="328"/>
      <c r="D509" s="328"/>
      <c r="E509" s="328"/>
    </row>
    <row r="510" spans="1:5">
      <c r="A510" t="s">
        <v>1161</v>
      </c>
      <c r="B510" s="328">
        <v>1</v>
      </c>
      <c r="C510" s="328"/>
      <c r="D510" s="328"/>
      <c r="E510" s="328"/>
    </row>
    <row r="511" spans="1:5">
      <c r="A511" t="s">
        <v>1162</v>
      </c>
      <c r="B511" s="328">
        <v>1</v>
      </c>
      <c r="C511" s="328"/>
      <c r="D511" s="328"/>
      <c r="E511" s="328"/>
    </row>
    <row r="512" spans="1:5">
      <c r="A512" t="s">
        <v>1163</v>
      </c>
      <c r="B512" s="328">
        <v>1</v>
      </c>
      <c r="C512" s="328"/>
      <c r="D512" s="328"/>
      <c r="E512" s="328"/>
    </row>
    <row r="513" spans="1:5">
      <c r="A513" t="s">
        <v>1164</v>
      </c>
      <c r="B513" s="328">
        <v>1</v>
      </c>
      <c r="C513" s="328"/>
      <c r="D513" s="328"/>
      <c r="E513" s="328"/>
    </row>
    <row r="514" spans="1:5">
      <c r="A514" t="s">
        <v>1165</v>
      </c>
      <c r="B514" s="328">
        <v>1</v>
      </c>
      <c r="C514" s="328"/>
      <c r="D514" s="328"/>
      <c r="E514" s="328"/>
    </row>
    <row r="515" spans="1:5">
      <c r="A515" t="s">
        <v>1166</v>
      </c>
      <c r="B515" s="328">
        <v>1</v>
      </c>
      <c r="C515" s="328"/>
      <c r="D515" s="328"/>
      <c r="E515" s="328"/>
    </row>
    <row r="516" spans="1:5">
      <c r="A516" t="s">
        <v>1167</v>
      </c>
      <c r="B516" s="328">
        <v>1</v>
      </c>
      <c r="C516" s="328"/>
      <c r="D516" s="328"/>
      <c r="E516" s="328"/>
    </row>
    <row r="517" spans="1:5">
      <c r="A517" t="s">
        <v>1168</v>
      </c>
      <c r="B517" s="328">
        <v>1</v>
      </c>
      <c r="C517" s="328"/>
      <c r="D517" s="328"/>
      <c r="E517" s="328"/>
    </row>
    <row r="518" spans="1:5">
      <c r="A518" t="s">
        <v>1169</v>
      </c>
      <c r="B518" s="328">
        <v>1</v>
      </c>
      <c r="C518" s="328"/>
      <c r="D518" s="328"/>
      <c r="E518" s="328"/>
    </row>
    <row r="519" spans="1:5">
      <c r="A519" t="s">
        <v>1170</v>
      </c>
      <c r="B519" s="328">
        <v>1</v>
      </c>
      <c r="C519" s="328"/>
      <c r="D519" s="328"/>
      <c r="E519" s="328"/>
    </row>
    <row r="520" spans="1:5">
      <c r="A520" t="s">
        <v>1171</v>
      </c>
      <c r="B520" s="328">
        <v>1</v>
      </c>
      <c r="C520" s="328"/>
      <c r="D520" s="328"/>
      <c r="E520" s="328"/>
    </row>
    <row r="521" spans="1:5">
      <c r="A521" t="s">
        <v>1937</v>
      </c>
      <c r="B521" s="328">
        <v>1</v>
      </c>
      <c r="C521" s="328"/>
      <c r="D521" s="328"/>
      <c r="E521" s="174">
        <v>45645</v>
      </c>
    </row>
    <row r="522" spans="1:5">
      <c r="A522" t="s">
        <v>1172</v>
      </c>
      <c r="B522" s="328">
        <v>0</v>
      </c>
      <c r="C522" s="328"/>
      <c r="D522" s="328"/>
      <c r="E522" s="328"/>
    </row>
    <row r="523" spans="1:5">
      <c r="A523" t="s">
        <v>1173</v>
      </c>
      <c r="B523" s="328">
        <v>1</v>
      </c>
      <c r="C523" s="328"/>
      <c r="D523" s="328"/>
      <c r="E523" s="328"/>
    </row>
    <row r="524" spans="1:5">
      <c r="A524" t="s">
        <v>1174</v>
      </c>
      <c r="B524" s="328">
        <v>1</v>
      </c>
      <c r="C524" s="328"/>
      <c r="D524" s="328"/>
      <c r="E524" s="328"/>
    </row>
    <row r="525" spans="1:5">
      <c r="A525" t="s">
        <v>1175</v>
      </c>
      <c r="B525" s="328">
        <v>1</v>
      </c>
      <c r="C525" s="174">
        <v>45491</v>
      </c>
      <c r="D525" s="174">
        <v>45495</v>
      </c>
      <c r="E525" s="174">
        <v>45495</v>
      </c>
    </row>
    <row r="526" spans="1:5">
      <c r="A526" t="s">
        <v>1176</v>
      </c>
      <c r="B526" s="328">
        <v>1</v>
      </c>
      <c r="C526" s="328"/>
      <c r="D526" s="328"/>
      <c r="E526" s="328"/>
    </row>
    <row r="527" spans="1:5">
      <c r="A527" t="s">
        <v>1177</v>
      </c>
      <c r="B527" s="328">
        <v>1</v>
      </c>
      <c r="C527" s="328"/>
      <c r="D527" s="328"/>
      <c r="E527" s="328"/>
    </row>
    <row r="528" spans="1:5">
      <c r="A528" t="s">
        <v>1178</v>
      </c>
      <c r="B528" s="328">
        <v>1</v>
      </c>
      <c r="C528" s="174">
        <v>45491</v>
      </c>
      <c r="D528" s="174">
        <v>45495</v>
      </c>
      <c r="E528" s="174">
        <v>45495</v>
      </c>
    </row>
    <row r="529" spans="1:5">
      <c r="A529" t="s">
        <v>1179</v>
      </c>
      <c r="B529" s="328">
        <v>1</v>
      </c>
      <c r="C529" s="328"/>
      <c r="D529" s="328"/>
      <c r="E529" s="328"/>
    </row>
    <row r="530" spans="1:5">
      <c r="A530" t="s">
        <v>1180</v>
      </c>
      <c r="B530" s="328">
        <v>1</v>
      </c>
      <c r="C530" s="328"/>
      <c r="D530" s="328"/>
      <c r="E530" s="328"/>
    </row>
    <row r="531" spans="1:5">
      <c r="A531" t="s">
        <v>1181</v>
      </c>
      <c r="B531" s="328">
        <v>1</v>
      </c>
      <c r="C531" s="328"/>
      <c r="D531" s="328"/>
      <c r="E531" s="328"/>
    </row>
    <row r="532" spans="1:5">
      <c r="A532" t="s">
        <v>1182</v>
      </c>
      <c r="B532" s="328">
        <v>1</v>
      </c>
      <c r="C532" s="328"/>
      <c r="D532" s="328"/>
      <c r="E532" s="328"/>
    </row>
    <row r="533" spans="1:5">
      <c r="A533" t="s">
        <v>1183</v>
      </c>
      <c r="B533" s="328">
        <v>1</v>
      </c>
      <c r="C533" s="328"/>
      <c r="D533" s="328"/>
      <c r="E533" s="328"/>
    </row>
    <row r="534" spans="1:5">
      <c r="A534" t="s">
        <v>1184</v>
      </c>
      <c r="B534" s="328">
        <v>1</v>
      </c>
      <c r="C534" s="328"/>
      <c r="D534" s="328"/>
      <c r="E534" s="328"/>
    </row>
    <row r="535" spans="1:5">
      <c r="A535" t="s">
        <v>1185</v>
      </c>
      <c r="B535" s="328">
        <v>1</v>
      </c>
      <c r="C535" s="328"/>
      <c r="D535" s="328"/>
      <c r="E535" s="328"/>
    </row>
    <row r="536" spans="1:5">
      <c r="A536" t="s">
        <v>1186</v>
      </c>
      <c r="B536" s="328">
        <v>1</v>
      </c>
      <c r="C536" s="328"/>
      <c r="D536" s="328"/>
      <c r="E536" s="328"/>
    </row>
    <row r="537" spans="1:5">
      <c r="A537" t="s">
        <v>1187</v>
      </c>
      <c r="B537" s="328">
        <v>1</v>
      </c>
      <c r="C537" s="328"/>
      <c r="D537" s="328"/>
      <c r="E537" s="328"/>
    </row>
    <row r="538" spans="1:5">
      <c r="A538" t="s">
        <v>1188</v>
      </c>
      <c r="B538" s="328">
        <v>0</v>
      </c>
      <c r="C538" s="328"/>
      <c r="D538" s="328"/>
      <c r="E538" s="328"/>
    </row>
    <row r="539" spans="1:5">
      <c r="A539" t="s">
        <v>1189</v>
      </c>
      <c r="B539" s="328">
        <v>1</v>
      </c>
      <c r="C539" s="328"/>
      <c r="D539" s="328"/>
      <c r="E539" s="328"/>
    </row>
    <row r="540" spans="1:5">
      <c r="A540" t="s">
        <v>1190</v>
      </c>
      <c r="B540" s="328">
        <v>1</v>
      </c>
      <c r="C540" s="328"/>
      <c r="D540" s="328"/>
      <c r="E540" s="328"/>
    </row>
    <row r="541" spans="1:5">
      <c r="A541" t="s">
        <v>1191</v>
      </c>
      <c r="B541" s="328">
        <v>1</v>
      </c>
      <c r="C541" s="328"/>
      <c r="D541" s="328"/>
      <c r="E541" s="328"/>
    </row>
    <row r="542" spans="1:5">
      <c r="A542" t="s">
        <v>1192</v>
      </c>
      <c r="B542" s="328">
        <v>1</v>
      </c>
      <c r="C542" s="328"/>
      <c r="D542" s="328"/>
      <c r="E542" s="328"/>
    </row>
    <row r="543" spans="1:5">
      <c r="A543" t="s">
        <v>1193</v>
      </c>
      <c r="B543" s="328">
        <v>1</v>
      </c>
      <c r="C543" s="328"/>
      <c r="D543" s="328"/>
      <c r="E543" s="328"/>
    </row>
    <row r="544" spans="1:5">
      <c r="A544" t="s">
        <v>1194</v>
      </c>
      <c r="B544" s="328">
        <v>1</v>
      </c>
      <c r="C544" s="328"/>
      <c r="D544" s="328"/>
      <c r="E544" s="328"/>
    </row>
    <row r="545" spans="1:5">
      <c r="A545" t="s">
        <v>1195</v>
      </c>
      <c r="B545" s="328">
        <v>1</v>
      </c>
      <c r="C545" s="328"/>
      <c r="D545" s="328"/>
      <c r="E545" s="328"/>
    </row>
    <row r="546" spans="1:5">
      <c r="A546" t="s">
        <v>1196</v>
      </c>
      <c r="B546" s="328">
        <v>1</v>
      </c>
      <c r="C546" s="328"/>
      <c r="D546" s="328"/>
      <c r="E546" s="328"/>
    </row>
    <row r="547" spans="1:5">
      <c r="A547" t="s">
        <v>1197</v>
      </c>
      <c r="B547" s="328">
        <v>1</v>
      </c>
      <c r="C547" s="328"/>
      <c r="D547" s="328"/>
      <c r="E547" s="328"/>
    </row>
    <row r="548" spans="1:5">
      <c r="A548" t="s">
        <v>1198</v>
      </c>
      <c r="B548" s="328">
        <v>1</v>
      </c>
      <c r="C548" s="328"/>
      <c r="D548" s="328"/>
      <c r="E548" s="328"/>
    </row>
    <row r="549" spans="1:5">
      <c r="A549" t="s">
        <v>1199</v>
      </c>
      <c r="B549" s="328">
        <v>1</v>
      </c>
      <c r="C549" s="328"/>
      <c r="D549" s="328"/>
      <c r="E549" s="328"/>
    </row>
    <row r="550" spans="1:5">
      <c r="A550" t="s">
        <v>1200</v>
      </c>
      <c r="B550" s="328">
        <v>1</v>
      </c>
      <c r="C550" s="328"/>
      <c r="D550" s="328"/>
      <c r="E550" s="328"/>
    </row>
    <row r="551" spans="1:5">
      <c r="A551" t="s">
        <v>1201</v>
      </c>
      <c r="B551" s="328">
        <v>1</v>
      </c>
      <c r="C551" s="328"/>
      <c r="D551" s="328"/>
      <c r="E551" s="328"/>
    </row>
    <row r="552" spans="1:5">
      <c r="A552" t="s">
        <v>1202</v>
      </c>
      <c r="B552" s="328">
        <v>1</v>
      </c>
      <c r="C552" s="328"/>
      <c r="D552" s="328"/>
      <c r="E552" s="328"/>
    </row>
    <row r="553" spans="1:5">
      <c r="A553" t="s">
        <v>1203</v>
      </c>
      <c r="B553" s="328">
        <v>0</v>
      </c>
      <c r="C553" s="328"/>
      <c r="D553" s="328"/>
      <c r="E553" s="328"/>
    </row>
    <row r="554" spans="1:5">
      <c r="A554" t="s">
        <v>1204</v>
      </c>
      <c r="B554" s="328">
        <v>1</v>
      </c>
      <c r="C554" s="328"/>
      <c r="D554" s="328"/>
      <c r="E554" s="328"/>
    </row>
    <row r="555" spans="1:5">
      <c r="A555" t="s">
        <v>1205</v>
      </c>
      <c r="B555" s="328">
        <v>1</v>
      </c>
      <c r="C555" s="328"/>
      <c r="D555" s="328"/>
      <c r="E555" s="328"/>
    </row>
    <row r="556" spans="1:5">
      <c r="A556" t="s">
        <v>1206</v>
      </c>
      <c r="B556" s="328">
        <v>1</v>
      </c>
      <c r="C556" s="328"/>
      <c r="D556" s="328"/>
      <c r="E556" s="328"/>
    </row>
    <row r="557" spans="1:5">
      <c r="A557" t="s">
        <v>1207</v>
      </c>
      <c r="B557" s="328">
        <v>0</v>
      </c>
      <c r="C557" s="328"/>
      <c r="D557" s="328"/>
      <c r="E557" s="328"/>
    </row>
    <row r="558" spans="1:5">
      <c r="A558" t="s">
        <v>1208</v>
      </c>
      <c r="B558" s="328">
        <v>1</v>
      </c>
      <c r="C558" s="328"/>
      <c r="D558" s="328"/>
      <c r="E558" s="328"/>
    </row>
    <row r="559" spans="1:5">
      <c r="A559" t="s">
        <v>1209</v>
      </c>
      <c r="B559" s="328">
        <v>1</v>
      </c>
      <c r="C559" s="328"/>
      <c r="D559" s="328"/>
      <c r="E559" s="328"/>
    </row>
    <row r="560" spans="1:5">
      <c r="A560" t="s">
        <v>1210</v>
      </c>
      <c r="B560" s="328">
        <v>0</v>
      </c>
      <c r="C560" s="328"/>
      <c r="D560" s="328"/>
      <c r="E560" s="328"/>
    </row>
    <row r="561" spans="1:5">
      <c r="A561" t="s">
        <v>1211</v>
      </c>
      <c r="B561" s="328">
        <v>1</v>
      </c>
      <c r="C561" s="328"/>
      <c r="D561" s="328"/>
      <c r="E561" s="328"/>
    </row>
    <row r="562" spans="1:5">
      <c r="A562" t="s">
        <v>1212</v>
      </c>
      <c r="B562" s="328">
        <v>1</v>
      </c>
      <c r="C562" s="328"/>
      <c r="D562" s="328"/>
      <c r="E562" s="328"/>
    </row>
    <row r="563" spans="1:5">
      <c r="A563" t="s">
        <v>1213</v>
      </c>
      <c r="B563" s="328">
        <v>1</v>
      </c>
      <c r="C563" s="328"/>
      <c r="D563" s="328"/>
      <c r="E563" s="328"/>
    </row>
    <row r="564" spans="1:5">
      <c r="A564" t="s">
        <v>1214</v>
      </c>
      <c r="B564" s="328">
        <v>1</v>
      </c>
      <c r="C564" s="328"/>
      <c r="D564" s="328"/>
      <c r="E564" s="328"/>
    </row>
    <row r="565" spans="1:5">
      <c r="A565" t="s">
        <v>1215</v>
      </c>
      <c r="B565" s="328">
        <v>1</v>
      </c>
      <c r="C565" s="328"/>
      <c r="D565" s="328"/>
      <c r="E565" s="328"/>
    </row>
    <row r="566" spans="1:5">
      <c r="A566" t="s">
        <v>1216</v>
      </c>
      <c r="B566" s="328">
        <v>1</v>
      </c>
      <c r="C566" s="328"/>
      <c r="D566" s="328"/>
      <c r="E566" s="328"/>
    </row>
    <row r="567" spans="1:5">
      <c r="A567" t="s">
        <v>1217</v>
      </c>
      <c r="B567" s="328">
        <v>1</v>
      </c>
      <c r="C567" s="328"/>
      <c r="D567" s="328"/>
      <c r="E567" s="328"/>
    </row>
    <row r="568" spans="1:5">
      <c r="A568" t="s">
        <v>1218</v>
      </c>
      <c r="B568" s="328">
        <v>1</v>
      </c>
      <c r="C568" s="328"/>
      <c r="D568" s="328"/>
      <c r="E568" s="328"/>
    </row>
    <row r="569" spans="1:5">
      <c r="A569" t="s">
        <v>1219</v>
      </c>
      <c r="B569" s="328">
        <v>1</v>
      </c>
      <c r="C569" s="328"/>
      <c r="D569" s="328"/>
      <c r="E569" s="328"/>
    </row>
    <row r="570" spans="1:5">
      <c r="A570" t="s">
        <v>1220</v>
      </c>
      <c r="B570" s="328">
        <v>1</v>
      </c>
      <c r="C570" s="328"/>
      <c r="D570" s="328"/>
      <c r="E570" s="328"/>
    </row>
    <row r="571" spans="1:5">
      <c r="A571" t="s">
        <v>1221</v>
      </c>
      <c r="B571" s="328">
        <v>1</v>
      </c>
      <c r="C571" s="328"/>
      <c r="D571" s="328"/>
      <c r="E571" s="328"/>
    </row>
    <row r="572" spans="1:5">
      <c r="A572" t="s">
        <v>1222</v>
      </c>
      <c r="B572" s="328">
        <v>7</v>
      </c>
      <c r="C572" s="174">
        <v>45621</v>
      </c>
      <c r="D572" s="174">
        <v>374342</v>
      </c>
      <c r="E572"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0"/>
  <sheetViews>
    <sheetView showGridLines="0" zoomScale="70" zoomScaleNormal="70" workbookViewId="0"/>
  </sheetViews>
  <sheetFormatPr defaultRowHeight="13.8"/>
  <cols>
    <col min="1" max="1" width="3.69921875" customWidth="1"/>
    <col min="2" max="2" width="35.09765625" customWidth="1"/>
    <col min="3" max="3" width="15.69921875" customWidth="1"/>
    <col min="4" max="4" width="12.19921875" customWidth="1"/>
    <col min="5" max="5" width="12.3984375" customWidth="1"/>
    <col min="6" max="6" width="38.69921875" customWidth="1"/>
    <col min="7" max="7" width="15.19921875" customWidth="1"/>
    <col min="8" max="8" width="15" customWidth="1"/>
    <col min="9" max="9" width="38.19921875" customWidth="1"/>
    <col min="10" max="10" width="23.3984375" customWidth="1"/>
    <col min="11" max="11" width="11.6992187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1" ht="22.2">
      <c r="B2" s="127" t="s">
        <v>2024</v>
      </c>
    </row>
    <row r="3" spans="2:11" ht="17.399999999999999" customHeight="1">
      <c r="B3" s="346"/>
    </row>
    <row r="6" spans="2:11" ht="18" customHeight="1">
      <c r="B6" s="50" t="s">
        <v>8</v>
      </c>
      <c r="C6" t="s">
        <v>26</v>
      </c>
    </row>
    <row r="7" spans="2:11">
      <c r="B7" s="50" t="s">
        <v>10</v>
      </c>
      <c r="C7" t="s">
        <v>40</v>
      </c>
    </row>
    <row r="9" spans="2:11">
      <c r="B9" s="50" t="s">
        <v>1224</v>
      </c>
      <c r="C9" s="50" t="s">
        <v>1225</v>
      </c>
    </row>
    <row r="10" spans="2:11">
      <c r="B10" s="50" t="s">
        <v>1226</v>
      </c>
      <c r="C10" t="s">
        <v>612</v>
      </c>
      <c r="D10" t="s">
        <v>613</v>
      </c>
      <c r="E10" t="s">
        <v>1921</v>
      </c>
      <c r="F10" t="s">
        <v>614</v>
      </c>
      <c r="G10" t="s">
        <v>615</v>
      </c>
      <c r="H10" t="s">
        <v>616</v>
      </c>
      <c r="I10" t="s">
        <v>618</v>
      </c>
      <c r="J10" t="s">
        <v>1922</v>
      </c>
      <c r="K10" t="s">
        <v>1222</v>
      </c>
    </row>
    <row r="11" spans="2:11">
      <c r="B11" s="51" t="s">
        <v>27</v>
      </c>
      <c r="C11" s="328">
        <v>10</v>
      </c>
      <c r="D11" s="328">
        <v>147</v>
      </c>
      <c r="E11" s="328"/>
      <c r="F11" s="328"/>
      <c r="G11" s="328">
        <v>12</v>
      </c>
      <c r="H11" s="328"/>
      <c r="I11" s="328"/>
      <c r="J11" s="328"/>
      <c r="K11" s="328">
        <v>169</v>
      </c>
    </row>
    <row r="12" spans="2:11">
      <c r="B12" s="51" t="s">
        <v>29</v>
      </c>
      <c r="C12" s="328">
        <v>14</v>
      </c>
      <c r="D12" s="328">
        <v>204</v>
      </c>
      <c r="E12" s="328">
        <v>7</v>
      </c>
      <c r="F12" s="328"/>
      <c r="G12" s="328">
        <v>1</v>
      </c>
      <c r="H12" s="328"/>
      <c r="I12" s="328">
        <v>6</v>
      </c>
      <c r="J12" s="328">
        <v>13</v>
      </c>
      <c r="K12" s="328">
        <v>245</v>
      </c>
    </row>
    <row r="13" spans="2:11">
      <c r="B13" s="51" t="s">
        <v>26</v>
      </c>
      <c r="C13" s="328"/>
      <c r="D13" s="328">
        <v>119</v>
      </c>
      <c r="E13" s="328">
        <v>3</v>
      </c>
      <c r="F13" s="328">
        <v>10</v>
      </c>
      <c r="G13" s="328">
        <v>2</v>
      </c>
      <c r="H13" s="328">
        <v>1</v>
      </c>
      <c r="I13" s="328"/>
      <c r="J13" s="328"/>
      <c r="K13" s="328">
        <v>135</v>
      </c>
    </row>
    <row r="14" spans="2:11">
      <c r="B14" s="51" t="s">
        <v>1222</v>
      </c>
      <c r="C14" s="328">
        <v>24</v>
      </c>
      <c r="D14" s="328">
        <v>470</v>
      </c>
      <c r="E14" s="328">
        <v>10</v>
      </c>
      <c r="F14" s="328">
        <v>10</v>
      </c>
      <c r="G14" s="328">
        <v>15</v>
      </c>
      <c r="H14" s="328">
        <v>1</v>
      </c>
      <c r="I14" s="328">
        <v>6</v>
      </c>
      <c r="J14" s="328">
        <v>13</v>
      </c>
      <c r="K14" s="328">
        <v>549</v>
      </c>
    </row>
    <row r="18" spans="2:10">
      <c r="B18" s="51"/>
      <c r="C18" s="328"/>
      <c r="D18" s="328"/>
      <c r="E18" s="328"/>
      <c r="F18" s="328"/>
      <c r="G18" s="328"/>
      <c r="H18" s="328"/>
      <c r="I18" s="328"/>
      <c r="J18" s="328"/>
    </row>
    <row r="19" spans="2:10">
      <c r="B19" s="50" t="s">
        <v>8</v>
      </c>
      <c r="C19" t="s">
        <v>26</v>
      </c>
    </row>
    <row r="20" spans="2:10">
      <c r="B20" s="50" t="s">
        <v>2030</v>
      </c>
      <c r="C20" t="s">
        <v>2029</v>
      </c>
    </row>
    <row r="21" spans="2:10">
      <c r="B21" s="50" t="s">
        <v>10</v>
      </c>
      <c r="C21" t="s">
        <v>40</v>
      </c>
    </row>
    <row r="23" spans="2:10">
      <c r="B23" s="50" t="s">
        <v>1226</v>
      </c>
      <c r="C23" t="s">
        <v>1224</v>
      </c>
    </row>
    <row r="24" spans="2:10">
      <c r="B24" s="51" t="s">
        <v>612</v>
      </c>
      <c r="C24" s="328">
        <v>24</v>
      </c>
    </row>
    <row r="25" spans="2:10">
      <c r="B25" s="51" t="s">
        <v>613</v>
      </c>
      <c r="C25" s="328">
        <v>470</v>
      </c>
    </row>
    <row r="26" spans="2:10">
      <c r="B26" s="51" t="s">
        <v>1921</v>
      </c>
      <c r="C26" s="328">
        <v>10</v>
      </c>
    </row>
    <row r="27" spans="2:10">
      <c r="B27" s="51" t="s">
        <v>614</v>
      </c>
      <c r="C27" s="328">
        <v>10</v>
      </c>
    </row>
    <row r="28" spans="2:10">
      <c r="B28" s="51" t="s">
        <v>615</v>
      </c>
      <c r="C28" s="328">
        <v>15</v>
      </c>
    </row>
    <row r="29" spans="2:10">
      <c r="B29" s="51" t="s">
        <v>616</v>
      </c>
      <c r="C29" s="328">
        <v>1</v>
      </c>
    </row>
    <row r="30" spans="2:10">
      <c r="B30" s="51" t="s">
        <v>618</v>
      </c>
      <c r="C30" s="328">
        <v>6</v>
      </c>
    </row>
    <row r="31" spans="2:10">
      <c r="B31" s="51" t="s">
        <v>1922</v>
      </c>
      <c r="C31" s="328">
        <v>13</v>
      </c>
    </row>
    <row r="32" spans="2:10">
      <c r="B32" s="51" t="s">
        <v>1222</v>
      </c>
      <c r="C32" s="328">
        <v>549</v>
      </c>
    </row>
    <row r="40" spans="2:12">
      <c r="B40" s="345"/>
      <c r="C40" s="345"/>
      <c r="D40" s="345"/>
    </row>
    <row r="41" spans="2:12">
      <c r="B41" s="345"/>
      <c r="C41" s="345"/>
      <c r="D41" s="345"/>
    </row>
    <row r="42" spans="2:12" ht="22.2">
      <c r="B42" s="127" t="s">
        <v>2025</v>
      </c>
      <c r="C42" s="11"/>
      <c r="D42" s="11"/>
      <c r="E42" s="11"/>
      <c r="F42" s="11"/>
      <c r="G42" s="11"/>
      <c r="H42" s="11"/>
      <c r="I42" s="11"/>
      <c r="J42" s="11"/>
      <c r="K42" s="11"/>
      <c r="L42" s="11"/>
    </row>
    <row r="45" spans="2:12">
      <c r="B45" s="50" t="s">
        <v>8</v>
      </c>
      <c r="C45" t="s" vm="1">
        <v>26</v>
      </c>
    </row>
    <row r="46" spans="2:12">
      <c r="B46" s="50" t="s">
        <v>9</v>
      </c>
      <c r="C46" t="s" vm="2">
        <v>1223</v>
      </c>
    </row>
    <row r="47" spans="2:12">
      <c r="B47" s="50" t="s">
        <v>10</v>
      </c>
      <c r="C47" t="s" vm="3">
        <v>40</v>
      </c>
    </row>
    <row r="49" spans="2:6">
      <c r="B49" s="50" t="s">
        <v>1224</v>
      </c>
      <c r="C49" s="50" t="s">
        <v>1225</v>
      </c>
    </row>
    <row r="50" spans="2:6">
      <c r="B50" s="50" t="s">
        <v>1226</v>
      </c>
      <c r="C50" t="s">
        <v>612</v>
      </c>
      <c r="D50" t="s">
        <v>613</v>
      </c>
      <c r="E50" t="s">
        <v>615</v>
      </c>
      <c r="F50" t="s">
        <v>1222</v>
      </c>
    </row>
    <row r="51" spans="2:6">
      <c r="B51" s="51" t="s">
        <v>74</v>
      </c>
      <c r="C51" s="328">
        <v>3</v>
      </c>
      <c r="D51" s="328">
        <v>17</v>
      </c>
      <c r="E51" s="328"/>
      <c r="F51" s="328">
        <v>20</v>
      </c>
    </row>
    <row r="52" spans="2:6">
      <c r="B52" s="51" t="s">
        <v>123</v>
      </c>
      <c r="C52" s="328"/>
      <c r="D52" s="328">
        <v>72</v>
      </c>
      <c r="E52" s="328"/>
      <c r="F52" s="328">
        <v>72</v>
      </c>
    </row>
    <row r="53" spans="2:6">
      <c r="B53" s="51" t="s">
        <v>94</v>
      </c>
      <c r="C53" s="328">
        <v>2</v>
      </c>
      <c r="D53" s="328">
        <v>31</v>
      </c>
      <c r="E53" s="328"/>
      <c r="F53" s="328">
        <v>33</v>
      </c>
    </row>
    <row r="54" spans="2:6">
      <c r="B54" s="51" t="s">
        <v>88</v>
      </c>
      <c r="C54" s="328">
        <v>1</v>
      </c>
      <c r="D54" s="328">
        <v>14</v>
      </c>
      <c r="E54" s="328"/>
      <c r="F54" s="328">
        <v>15</v>
      </c>
    </row>
    <row r="55" spans="2:6">
      <c r="B55" s="51" t="s">
        <v>55</v>
      </c>
      <c r="C55" s="328">
        <v>4</v>
      </c>
      <c r="D55" s="328">
        <v>13</v>
      </c>
      <c r="E55" s="328"/>
      <c r="F55" s="328">
        <v>17</v>
      </c>
    </row>
    <row r="56" spans="2:6">
      <c r="B56" s="51" t="s">
        <v>37</v>
      </c>
      <c r="C56" s="328"/>
      <c r="D56" s="328"/>
      <c r="E56" s="328">
        <v>12</v>
      </c>
      <c r="F56" s="328">
        <v>12</v>
      </c>
    </row>
    <row r="57" spans="2:6">
      <c r="B57" s="51" t="s">
        <v>1222</v>
      </c>
      <c r="C57" s="328">
        <v>10</v>
      </c>
      <c r="D57" s="328">
        <v>147</v>
      </c>
      <c r="E57" s="328">
        <v>12</v>
      </c>
      <c r="F57" s="328">
        <v>169</v>
      </c>
    </row>
    <row r="62" spans="2:6">
      <c r="B62" s="50" t="s">
        <v>8</v>
      </c>
      <c r="C62" t="s" vm="1">
        <v>26</v>
      </c>
    </row>
    <row r="63" spans="2:6">
      <c r="B63" s="50" t="s">
        <v>9</v>
      </c>
      <c r="C63" t="s" vm="2">
        <v>1223</v>
      </c>
    </row>
    <row r="64" spans="2:6">
      <c r="B64" s="50" t="s">
        <v>10</v>
      </c>
      <c r="C64" t="s" vm="3">
        <v>40</v>
      </c>
    </row>
    <row r="66" spans="2:3">
      <c r="B66" s="50" t="s">
        <v>1226</v>
      </c>
      <c r="C66" t="s">
        <v>1224</v>
      </c>
    </row>
    <row r="67" spans="2:3">
      <c r="B67" s="51" t="s">
        <v>612</v>
      </c>
      <c r="C67" s="328">
        <v>10</v>
      </c>
    </row>
    <row r="68" spans="2:3">
      <c r="B68" s="51" t="s">
        <v>613</v>
      </c>
      <c r="C68" s="328">
        <v>147</v>
      </c>
    </row>
    <row r="69" spans="2:3">
      <c r="B69" s="51" t="s">
        <v>615</v>
      </c>
      <c r="C69" s="328">
        <v>12</v>
      </c>
    </row>
    <row r="70" spans="2:3">
      <c r="B70" s="51" t="s">
        <v>1222</v>
      </c>
      <c r="C70" s="328">
        <v>169</v>
      </c>
    </row>
    <row r="81" spans="2:16" ht="22.2">
      <c r="B81" s="127" t="s">
        <v>2026</v>
      </c>
      <c r="C81" s="11"/>
      <c r="D81" s="11"/>
      <c r="E81" s="11"/>
      <c r="F81" s="11"/>
      <c r="G81" s="11"/>
      <c r="H81" s="11"/>
      <c r="I81" s="11"/>
      <c r="J81" s="11"/>
      <c r="K81" s="11"/>
      <c r="L81" s="11"/>
      <c r="M81" s="11"/>
      <c r="N81" s="11"/>
      <c r="O81" s="11"/>
      <c r="P81" s="11"/>
    </row>
    <row r="83" spans="2:16">
      <c r="B83" s="50" t="s">
        <v>8</v>
      </c>
      <c r="C83" t="s" vm="1">
        <v>26</v>
      </c>
    </row>
    <row r="84" spans="2:16">
      <c r="B84" s="50" t="s">
        <v>9</v>
      </c>
      <c r="C84" t="s" vm="4">
        <v>1223</v>
      </c>
    </row>
    <row r="85" spans="2:16">
      <c r="B85" s="50" t="s">
        <v>10</v>
      </c>
      <c r="C85" t="s" vm="3">
        <v>40</v>
      </c>
    </row>
    <row r="87" spans="2:16">
      <c r="B87" s="50" t="s">
        <v>1224</v>
      </c>
      <c r="C87" s="50" t="s">
        <v>1225</v>
      </c>
    </row>
    <row r="88" spans="2:16">
      <c r="B88" s="50" t="s">
        <v>1226</v>
      </c>
      <c r="C88" t="s">
        <v>612</v>
      </c>
      <c r="D88" t="s">
        <v>613</v>
      </c>
      <c r="E88" t="s">
        <v>1921</v>
      </c>
      <c r="F88" t="s">
        <v>1922</v>
      </c>
      <c r="G88" t="s">
        <v>615</v>
      </c>
      <c r="H88" t="s">
        <v>618</v>
      </c>
      <c r="I88" t="s">
        <v>1222</v>
      </c>
    </row>
    <row r="89" spans="2:16">
      <c r="B89" s="51" t="s">
        <v>182</v>
      </c>
      <c r="C89" s="328">
        <v>2</v>
      </c>
      <c r="D89" s="328">
        <v>27</v>
      </c>
      <c r="E89" s="328"/>
      <c r="F89" s="328"/>
      <c r="G89" s="328">
        <v>1</v>
      </c>
      <c r="H89" s="328"/>
      <c r="I89" s="328">
        <v>30</v>
      </c>
    </row>
    <row r="90" spans="2:16">
      <c r="B90" s="51" t="s">
        <v>334</v>
      </c>
      <c r="C90" s="328">
        <v>1</v>
      </c>
      <c r="D90" s="328">
        <v>1</v>
      </c>
      <c r="E90" s="328"/>
      <c r="F90" s="328">
        <v>12</v>
      </c>
      <c r="G90" s="328"/>
      <c r="H90" s="328"/>
      <c r="I90" s="328">
        <v>14</v>
      </c>
    </row>
    <row r="91" spans="2:16">
      <c r="B91" s="51" t="s">
        <v>332</v>
      </c>
      <c r="C91" s="328"/>
      <c r="D91" s="328">
        <v>15</v>
      </c>
      <c r="E91" s="328"/>
      <c r="F91" s="328"/>
      <c r="G91" s="328"/>
      <c r="H91" s="328"/>
      <c r="I91" s="328">
        <v>15</v>
      </c>
    </row>
    <row r="92" spans="2:16">
      <c r="B92" s="51" t="s">
        <v>326</v>
      </c>
      <c r="C92" s="328"/>
      <c r="D92" s="328">
        <v>22</v>
      </c>
      <c r="E92" s="328">
        <v>3</v>
      </c>
      <c r="F92" s="328">
        <v>1</v>
      </c>
      <c r="G92" s="328"/>
      <c r="H92" s="328">
        <v>6</v>
      </c>
      <c r="I92" s="328">
        <v>32</v>
      </c>
    </row>
    <row r="93" spans="2:16">
      <c r="B93" s="51" t="s">
        <v>312</v>
      </c>
      <c r="C93" s="328"/>
      <c r="D93" s="328">
        <v>14</v>
      </c>
      <c r="E93" s="328">
        <v>4</v>
      </c>
      <c r="F93" s="328"/>
      <c r="G93" s="328"/>
      <c r="H93" s="328"/>
      <c r="I93" s="328">
        <v>18</v>
      </c>
    </row>
    <row r="94" spans="2:16">
      <c r="B94" s="51" t="s">
        <v>217</v>
      </c>
      <c r="C94" s="328"/>
      <c r="D94" s="328">
        <v>6</v>
      </c>
      <c r="E94" s="328"/>
      <c r="F94" s="328"/>
      <c r="G94" s="328"/>
      <c r="H94" s="328"/>
      <c r="I94" s="328">
        <v>6</v>
      </c>
    </row>
    <row r="95" spans="2:16">
      <c r="B95" s="51" t="s">
        <v>216</v>
      </c>
      <c r="C95" s="328"/>
      <c r="D95" s="328">
        <v>41</v>
      </c>
      <c r="E95" s="328"/>
      <c r="F95" s="328"/>
      <c r="G95" s="328"/>
      <c r="H95" s="328"/>
      <c r="I95" s="328">
        <v>41</v>
      </c>
    </row>
    <row r="96" spans="2:16">
      <c r="B96" s="51" t="s">
        <v>214</v>
      </c>
      <c r="C96" s="328">
        <v>3</v>
      </c>
      <c r="D96" s="328">
        <v>6</v>
      </c>
      <c r="E96" s="328"/>
      <c r="F96" s="328"/>
      <c r="G96" s="328"/>
      <c r="H96" s="328"/>
      <c r="I96" s="328">
        <v>9</v>
      </c>
    </row>
    <row r="97" spans="2:9">
      <c r="B97" s="51" t="s">
        <v>213</v>
      </c>
      <c r="C97" s="328"/>
      <c r="D97" s="328">
        <v>17</v>
      </c>
      <c r="E97" s="328"/>
      <c r="F97" s="328"/>
      <c r="G97" s="328"/>
      <c r="H97" s="328"/>
      <c r="I97" s="328">
        <v>17</v>
      </c>
    </row>
    <row r="98" spans="2:9">
      <c r="B98" s="51" t="s">
        <v>218</v>
      </c>
      <c r="C98" s="328"/>
      <c r="D98" s="328">
        <v>17</v>
      </c>
      <c r="E98" s="328"/>
      <c r="F98" s="328"/>
      <c r="G98" s="328"/>
      <c r="H98" s="328"/>
      <c r="I98" s="328">
        <v>17</v>
      </c>
    </row>
    <row r="99" spans="2:9">
      <c r="B99" s="51" t="s">
        <v>219</v>
      </c>
      <c r="C99" s="328">
        <v>7</v>
      </c>
      <c r="D99" s="328">
        <v>14</v>
      </c>
      <c r="E99" s="328"/>
      <c r="F99" s="328"/>
      <c r="G99" s="328"/>
      <c r="H99" s="328"/>
      <c r="I99" s="328">
        <v>21</v>
      </c>
    </row>
    <row r="100" spans="2:9">
      <c r="B100" s="51" t="s">
        <v>220</v>
      </c>
      <c r="C100" s="328">
        <v>1</v>
      </c>
      <c r="D100" s="328">
        <v>17</v>
      </c>
      <c r="E100" s="328"/>
      <c r="F100" s="328"/>
      <c r="G100" s="328"/>
      <c r="H100" s="328"/>
      <c r="I100" s="328">
        <v>18</v>
      </c>
    </row>
    <row r="101" spans="2:9">
      <c r="B101" s="51" t="s">
        <v>215</v>
      </c>
      <c r="C101" s="328"/>
      <c r="D101" s="328">
        <v>7</v>
      </c>
      <c r="E101" s="328"/>
      <c r="F101" s="328"/>
      <c r="G101" s="328"/>
      <c r="H101" s="328"/>
      <c r="I101" s="328">
        <v>7</v>
      </c>
    </row>
    <row r="102" spans="2:9">
      <c r="B102" s="51" t="s">
        <v>1222</v>
      </c>
      <c r="C102" s="328">
        <v>14</v>
      </c>
      <c r="D102" s="328">
        <v>204</v>
      </c>
      <c r="E102" s="328">
        <v>7</v>
      </c>
      <c r="F102" s="328">
        <v>13</v>
      </c>
      <c r="G102" s="328">
        <v>1</v>
      </c>
      <c r="H102" s="328">
        <v>6</v>
      </c>
      <c r="I102" s="328">
        <v>245</v>
      </c>
    </row>
    <row r="107" spans="2:9">
      <c r="B107" s="50" t="s">
        <v>8</v>
      </c>
      <c r="C107" t="s" vm="1">
        <v>26</v>
      </c>
    </row>
    <row r="108" spans="2:9">
      <c r="B108" s="50" t="s">
        <v>9</v>
      </c>
      <c r="C108" t="s" vm="4">
        <v>1223</v>
      </c>
    </row>
    <row r="109" spans="2:9">
      <c r="B109" s="50" t="s">
        <v>10</v>
      </c>
      <c r="C109" t="s" vm="3">
        <v>40</v>
      </c>
    </row>
    <row r="111" spans="2:9">
      <c r="B111" s="50" t="s">
        <v>1226</v>
      </c>
      <c r="C111" t="s">
        <v>1224</v>
      </c>
    </row>
    <row r="112" spans="2:9">
      <c r="B112" s="51" t="s">
        <v>612</v>
      </c>
      <c r="C112" s="328">
        <v>14</v>
      </c>
    </row>
    <row r="113" spans="2:16">
      <c r="B113" s="51" t="s">
        <v>613</v>
      </c>
      <c r="C113" s="328">
        <v>204</v>
      </c>
    </row>
    <row r="114" spans="2:16">
      <c r="B114" s="51" t="s">
        <v>1921</v>
      </c>
      <c r="C114" s="328">
        <v>7</v>
      </c>
    </row>
    <row r="115" spans="2:16">
      <c r="B115" s="51" t="s">
        <v>1922</v>
      </c>
      <c r="C115" s="328">
        <v>13</v>
      </c>
    </row>
    <row r="116" spans="2:16">
      <c r="B116" s="51" t="s">
        <v>615</v>
      </c>
      <c r="C116" s="328">
        <v>1</v>
      </c>
    </row>
    <row r="117" spans="2:16">
      <c r="B117" s="51" t="s">
        <v>618</v>
      </c>
      <c r="C117" s="328">
        <v>6</v>
      </c>
    </row>
    <row r="118" spans="2:16">
      <c r="B118" s="51" t="s">
        <v>1222</v>
      </c>
      <c r="C118" s="328">
        <v>245</v>
      </c>
    </row>
    <row r="126" spans="2:16" ht="22.2">
      <c r="B126" s="127" t="s">
        <v>2027</v>
      </c>
      <c r="C126" s="11"/>
      <c r="D126" s="11"/>
      <c r="E126" s="11"/>
      <c r="F126" s="11"/>
      <c r="G126" s="11"/>
      <c r="H126" s="11"/>
      <c r="I126" s="11"/>
      <c r="J126" s="11"/>
      <c r="K126" s="11"/>
      <c r="L126" s="11"/>
      <c r="M126" s="11"/>
      <c r="N126" s="11"/>
      <c r="O126" s="11"/>
      <c r="P126" s="11"/>
    </row>
    <row r="127" spans="2:16" ht="22.2">
      <c r="B127" s="139"/>
    </row>
    <row r="129" spans="2:8">
      <c r="B129" s="50" t="s">
        <v>8</v>
      </c>
      <c r="C129" t="s" vm="1">
        <v>26</v>
      </c>
    </row>
    <row r="130" spans="2:8">
      <c r="B130" s="50" t="s">
        <v>9</v>
      </c>
      <c r="C130" t="s" vm="5">
        <v>26</v>
      </c>
    </row>
    <row r="131" spans="2:8">
      <c r="B131" s="50" t="s">
        <v>10</v>
      </c>
      <c r="C131" t="s" vm="3">
        <v>40</v>
      </c>
    </row>
    <row r="133" spans="2:8">
      <c r="B133" s="50" t="s">
        <v>1224</v>
      </c>
      <c r="C133" s="50" t="s">
        <v>1225</v>
      </c>
    </row>
    <row r="134" spans="2:8">
      <c r="B134" s="50" t="s">
        <v>1226</v>
      </c>
      <c r="C134" t="s">
        <v>613</v>
      </c>
      <c r="D134" t="s">
        <v>1921</v>
      </c>
      <c r="E134" t="s">
        <v>614</v>
      </c>
      <c r="F134" t="s">
        <v>615</v>
      </c>
      <c r="G134" t="s">
        <v>616</v>
      </c>
      <c r="H134" t="s">
        <v>1222</v>
      </c>
    </row>
    <row r="135" spans="2:8">
      <c r="B135" s="51" t="s">
        <v>380</v>
      </c>
      <c r="C135" s="328">
        <v>23</v>
      </c>
      <c r="D135" s="328">
        <v>3</v>
      </c>
      <c r="E135" s="328">
        <v>3</v>
      </c>
      <c r="F135" s="328">
        <v>1</v>
      </c>
      <c r="G135" s="328"/>
      <c r="H135" s="328">
        <v>30</v>
      </c>
    </row>
    <row r="136" spans="2:8">
      <c r="B136" s="51" t="s">
        <v>336</v>
      </c>
      <c r="C136" s="328">
        <v>36</v>
      </c>
      <c r="D136" s="328"/>
      <c r="E136" s="328">
        <v>7</v>
      </c>
      <c r="F136" s="328"/>
      <c r="G136" s="328"/>
      <c r="H136" s="328">
        <v>43</v>
      </c>
    </row>
    <row r="137" spans="2:8">
      <c r="B137" s="51" t="s">
        <v>369</v>
      </c>
      <c r="C137" s="328">
        <v>23</v>
      </c>
      <c r="D137" s="328"/>
      <c r="E137" s="328"/>
      <c r="F137" s="328"/>
      <c r="G137" s="328">
        <v>1</v>
      </c>
      <c r="H137" s="328">
        <v>24</v>
      </c>
    </row>
    <row r="138" spans="2:8">
      <c r="B138" s="51" t="s">
        <v>440</v>
      </c>
      <c r="C138" s="328">
        <v>5</v>
      </c>
      <c r="D138" s="328"/>
      <c r="E138" s="328"/>
      <c r="F138" s="328"/>
      <c r="G138" s="328"/>
      <c r="H138" s="328">
        <v>5</v>
      </c>
    </row>
    <row r="139" spans="2:8">
      <c r="B139" s="51" t="s">
        <v>442</v>
      </c>
      <c r="C139" s="328">
        <v>5</v>
      </c>
      <c r="D139" s="328"/>
      <c r="E139" s="328"/>
      <c r="F139" s="328"/>
      <c r="G139" s="328"/>
      <c r="H139" s="328">
        <v>5</v>
      </c>
    </row>
    <row r="140" spans="2:8">
      <c r="B140" s="51" t="s">
        <v>1948</v>
      </c>
      <c r="C140" s="328">
        <v>3</v>
      </c>
      <c r="D140" s="328"/>
      <c r="E140" s="328"/>
      <c r="F140" s="328">
        <v>1</v>
      </c>
      <c r="G140" s="328"/>
      <c r="H140" s="328">
        <v>4</v>
      </c>
    </row>
    <row r="141" spans="2:8">
      <c r="B141" s="51" t="s">
        <v>393</v>
      </c>
      <c r="C141" s="328">
        <v>9</v>
      </c>
      <c r="D141" s="328"/>
      <c r="E141" s="328"/>
      <c r="F141" s="328"/>
      <c r="G141" s="328"/>
      <c r="H141" s="328">
        <v>9</v>
      </c>
    </row>
    <row r="142" spans="2:8">
      <c r="B142" s="51" t="s">
        <v>1949</v>
      </c>
      <c r="C142" s="328">
        <v>15</v>
      </c>
      <c r="D142" s="328"/>
      <c r="E142" s="328"/>
      <c r="F142" s="328"/>
      <c r="G142" s="328"/>
      <c r="H142" s="328">
        <v>15</v>
      </c>
    </row>
    <row r="143" spans="2:8">
      <c r="B143" s="51" t="s">
        <v>1222</v>
      </c>
      <c r="C143" s="328">
        <v>119</v>
      </c>
      <c r="D143" s="328">
        <v>3</v>
      </c>
      <c r="E143" s="328">
        <v>10</v>
      </c>
      <c r="F143" s="328">
        <v>2</v>
      </c>
      <c r="G143" s="328">
        <v>1</v>
      </c>
      <c r="H143" s="328">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1226</v>
      </c>
      <c r="C154" t="s">
        <v>1224</v>
      </c>
    </row>
    <row r="155" spans="2:3">
      <c r="B155" s="51" t="s">
        <v>613</v>
      </c>
      <c r="C155" s="328">
        <v>119</v>
      </c>
    </row>
    <row r="156" spans="2:3">
      <c r="B156" s="51" t="s">
        <v>1921</v>
      </c>
      <c r="C156" s="328">
        <v>3</v>
      </c>
    </row>
    <row r="157" spans="2:3">
      <c r="B157" s="51" t="s">
        <v>616</v>
      </c>
      <c r="C157" s="328">
        <v>1</v>
      </c>
    </row>
    <row r="158" spans="2:3">
      <c r="B158" s="51" t="s">
        <v>615</v>
      </c>
      <c r="C158" s="328">
        <v>2</v>
      </c>
    </row>
    <row r="159" spans="2:3">
      <c r="B159" s="51" t="s">
        <v>614</v>
      </c>
      <c r="C159" s="328">
        <v>10</v>
      </c>
    </row>
    <row r="160" spans="2:3">
      <c r="B160" s="51" t="s">
        <v>1222</v>
      </c>
      <c r="C160" s="328">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A2" zoomScale="70" zoomScaleNormal="70" workbookViewId="0">
      <selection activeCell="I1101" sqref="I1101"/>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1227</v>
      </c>
      <c r="R7" t="s">
        <v>1228</v>
      </c>
    </row>
    <row r="8" spans="1:45" ht="15" customHeight="1">
      <c r="B8" s="200" t="s">
        <v>8</v>
      </c>
      <c r="C8" s="200" t="s">
        <v>9</v>
      </c>
      <c r="D8" s="199" t="s">
        <v>119</v>
      </c>
      <c r="E8" s="199" t="s">
        <v>1229</v>
      </c>
      <c r="F8" s="203" t="s">
        <v>11</v>
      </c>
      <c r="G8" s="199" t="s">
        <v>12</v>
      </c>
      <c r="H8" s="201" t="s">
        <v>669</v>
      </c>
      <c r="I8" s="202" t="s">
        <v>13</v>
      </c>
      <c r="J8" s="202" t="s">
        <v>14</v>
      </c>
      <c r="K8" s="199" t="s">
        <v>1230</v>
      </c>
      <c r="L8" s="199" t="s">
        <v>1231</v>
      </c>
      <c r="M8" s="199" t="s">
        <v>1232</v>
      </c>
      <c r="N8" s="199" t="s">
        <v>1233</v>
      </c>
      <c r="O8" s="199" t="s">
        <v>1234</v>
      </c>
      <c r="P8" s="199" t="s">
        <v>1235</v>
      </c>
      <c r="Q8" s="199" t="s">
        <v>1236</v>
      </c>
      <c r="R8" s="199" t="s">
        <v>1237</v>
      </c>
      <c r="S8" s="199" t="s">
        <v>1238</v>
      </c>
      <c r="T8" s="199" t="s">
        <v>1239</v>
      </c>
      <c r="U8" s="199" t="s">
        <v>1240</v>
      </c>
      <c r="V8" s="199" t="s">
        <v>1241</v>
      </c>
      <c r="W8" s="199" t="s">
        <v>17</v>
      </c>
      <c r="X8" s="199" t="s">
        <v>1242</v>
      </c>
    </row>
    <row r="9" spans="1:45" ht="17.7" hidden="1" customHeight="1">
      <c r="B9" s="2" t="s">
        <v>26</v>
      </c>
      <c r="C9" s="2" t="s">
        <v>34</v>
      </c>
      <c r="D9" s="2" t="s">
        <v>1256</v>
      </c>
      <c r="E9" s="2" t="s">
        <v>38</v>
      </c>
      <c r="F9" s="2" t="s">
        <v>37</v>
      </c>
      <c r="G9" s="2" t="s">
        <v>38</v>
      </c>
      <c r="H9" s="57" t="str">
        <f>Table1[[#This Row],[Tabela]]&amp;Table1[[#This Row],[Campo]]</f>
        <v>ENERGY_CERTIFICATE_EST_INPUTn.a.</v>
      </c>
      <c r="I9" s="2" t="s">
        <v>615</v>
      </c>
      <c r="J9" s="43">
        <f>VLOOKUP(Table1[[#This Row],[Status]],Auxiliar!$B$16:$C$24,2,0)</f>
        <v>5</v>
      </c>
      <c r="K9" s="2" t="s">
        <v>1243</v>
      </c>
      <c r="L9" s="2" t="s">
        <v>1252</v>
      </c>
      <c r="M9" s="21" t="s">
        <v>1253</v>
      </c>
      <c r="N9" s="48">
        <v>45667</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8"/>
      <c r="Y9" s="172"/>
      <c r="Z9" s="26"/>
      <c r="AA9" s="26"/>
      <c r="AB9" s="26"/>
      <c r="AC9" s="26"/>
      <c r="AD9" s="26"/>
    </row>
    <row r="10" spans="1:45" ht="17.7" hidden="1" customHeight="1">
      <c r="B10" s="2" t="s">
        <v>26</v>
      </c>
      <c r="C10" s="2" t="s">
        <v>34</v>
      </c>
      <c r="D10" s="2" t="s">
        <v>1256</v>
      </c>
      <c r="E10" s="2" t="s">
        <v>38</v>
      </c>
      <c r="F10" s="2" t="s">
        <v>37</v>
      </c>
      <c r="G10" s="2" t="s">
        <v>41</v>
      </c>
      <c r="H10" s="57" t="str">
        <f>Table1[[#This Row],[Tabela]]&amp;Table1[[#This Row],[Campo]]</f>
        <v>ENERGY_CERTIFICATE_EST_INPUTPROPERTY_BANK_ID</v>
      </c>
      <c r="I10" s="2" t="s">
        <v>615</v>
      </c>
      <c r="J10" s="43">
        <f>VLOOKUP(Table1[[#This Row],[Status]],Auxiliar!$B$16:$C$24,2,0)</f>
        <v>5</v>
      </c>
      <c r="K10" s="2" t="s">
        <v>1249</v>
      </c>
      <c r="L10" s="29" t="s">
        <v>1244</v>
      </c>
      <c r="M10" s="21" t="s">
        <v>1253</v>
      </c>
      <c r="N10" s="48">
        <v>45667</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8"/>
      <c r="Y10" s="172"/>
      <c r="Z10" s="26"/>
      <c r="AA10" s="26"/>
      <c r="AB10" s="26"/>
      <c r="AC10" s="26"/>
      <c r="AD10" s="26"/>
    </row>
    <row r="11" spans="1:45" ht="17.7" hidden="1" customHeight="1">
      <c r="B11" s="2" t="s">
        <v>26</v>
      </c>
      <c r="C11" s="2" t="s">
        <v>34</v>
      </c>
      <c r="D11" s="2" t="s">
        <v>1256</v>
      </c>
      <c r="E11" s="2" t="s">
        <v>38</v>
      </c>
      <c r="F11" s="2" t="s">
        <v>37</v>
      </c>
      <c r="G11" s="2" t="s">
        <v>41</v>
      </c>
      <c r="H11" s="57" t="str">
        <f>Table1[[#This Row],[Tabela]]&amp;Table1[[#This Row],[Campo]]</f>
        <v>ENERGY_CERTIFICATE_EST_INPUTPROPERTY_BANK_ID</v>
      </c>
      <c r="I11" s="2" t="s">
        <v>615</v>
      </c>
      <c r="J11" s="43">
        <f>VLOOKUP(Table1[[#This Row],[Status]],Auxiliar!$B$16:$C$24,2,0)</f>
        <v>5</v>
      </c>
      <c r="K11" s="2" t="s">
        <v>1257</v>
      </c>
      <c r="L11" s="29" t="s">
        <v>1244</v>
      </c>
      <c r="M11" s="21" t="s">
        <v>1253</v>
      </c>
      <c r="N11" s="48">
        <v>45667</v>
      </c>
      <c r="O11" s="21">
        <f>INDEX(Auxiliar!$D$5:$F$13,MATCH(Table1[[#This Row],[Tipologia_Testes]],Auxiliar!$B$5:$B$13,0),MATCH(Table1[[#This Row],[Complexidade]],Auxiliar!$D$4:$F$4,0))</f>
        <v>0.5</v>
      </c>
      <c r="P11" s="2" t="s">
        <v>1258</v>
      </c>
      <c r="Q11" s="2"/>
      <c r="R11" s="152">
        <v>45261</v>
      </c>
      <c r="S11" s="152"/>
      <c r="T11" s="152">
        <v>45510</v>
      </c>
      <c r="U11" s="152">
        <v>45624</v>
      </c>
      <c r="V11" s="152"/>
      <c r="W11" s="2">
        <f>VLOOKUP(Table1[[#This Row],[Status]],Auxiliar!$B$16:$D$24,3,0)*Table1[[#This Row],[Estimação (horas)]]</f>
        <v>0.125</v>
      </c>
      <c r="X11" s="168"/>
      <c r="Y11" s="172"/>
      <c r="Z11" s="26"/>
      <c r="AA11" s="26"/>
      <c r="AB11" s="26"/>
      <c r="AC11" s="26"/>
      <c r="AD11" s="26"/>
    </row>
    <row r="12" spans="1:45" ht="69.599999999999994" hidden="1" customHeight="1">
      <c r="B12" s="2" t="s">
        <v>26</v>
      </c>
      <c r="C12" s="2" t="s">
        <v>34</v>
      </c>
      <c r="D12" s="2" t="s">
        <v>1256</v>
      </c>
      <c r="E12" s="2" t="s">
        <v>38</v>
      </c>
      <c r="F12" s="2" t="s">
        <v>37</v>
      </c>
      <c r="G12" s="2" t="s">
        <v>42</v>
      </c>
      <c r="H12" s="57" t="str">
        <f>Table1[[#This Row],[Tabela]]&amp;Table1[[#This Row],[Campo]]</f>
        <v>ENERGY_CERTIFICATE_EST_INPUTENCRYPTED_KEY</v>
      </c>
      <c r="I12" s="2" t="s">
        <v>615</v>
      </c>
      <c r="J12" s="43">
        <f>VLOOKUP(Table1[[#This Row],[Status]],Auxiliar!$B$16:$C$24,2,0)</f>
        <v>5</v>
      </c>
      <c r="K12" s="2" t="s">
        <v>1249</v>
      </c>
      <c r="L12" s="29" t="s">
        <v>1244</v>
      </c>
      <c r="M12" s="21" t="s">
        <v>1253</v>
      </c>
      <c r="N12" s="48">
        <v>45667</v>
      </c>
      <c r="O12" s="21">
        <f>INDEX(Auxiliar!$D$5:$F$13,MATCH(Table1[[#This Row],[Tipologia_Testes]],Auxiliar!$B$5:$B$13,0),MATCH(Table1[[#This Row],[Complexidade]],Auxiliar!$D$4:$F$4,0))</f>
        <v>0.1</v>
      </c>
      <c r="P12" s="49" t="s">
        <v>1259</v>
      </c>
      <c r="Q12" s="33"/>
      <c r="R12" s="152">
        <v>45261</v>
      </c>
      <c r="S12" s="152"/>
      <c r="T12" s="152">
        <v>45510</v>
      </c>
      <c r="U12" s="152">
        <v>45624</v>
      </c>
      <c r="V12" s="152"/>
      <c r="W12" s="2">
        <f>VLOOKUP(Table1[[#This Row],[Status]],Auxiliar!$B$16:$D$24,3,0)*Table1[[#This Row],[Estimação (horas)]]</f>
        <v>2.5000000000000001E-2</v>
      </c>
      <c r="X12" s="169"/>
      <c r="Y12" s="173"/>
      <c r="Z12" s="171"/>
      <c r="AA12" s="171"/>
      <c r="AB12" s="171"/>
      <c r="AC12" s="171"/>
      <c r="AD12" s="171"/>
    </row>
    <row r="13" spans="1:45" ht="69.599999999999994" hidden="1" customHeight="1">
      <c r="B13" s="2" t="s">
        <v>26</v>
      </c>
      <c r="C13" s="2" t="s">
        <v>34</v>
      </c>
      <c r="D13" s="2" t="s">
        <v>1256</v>
      </c>
      <c r="E13" s="2" t="s">
        <v>38</v>
      </c>
      <c r="F13" s="2" t="s">
        <v>37</v>
      </c>
      <c r="G13" s="2" t="s">
        <v>42</v>
      </c>
      <c r="H13" s="57" t="str">
        <f>Table1[[#This Row],[Tabela]]&amp;Table1[[#This Row],[Campo]]</f>
        <v>ENERGY_CERTIFICATE_EST_INPUTENCRYPTED_KEY</v>
      </c>
      <c r="I13" s="2" t="s">
        <v>615</v>
      </c>
      <c r="J13" s="43">
        <f>VLOOKUP(Table1[[#This Row],[Status]],Auxiliar!$B$16:$C$24,2,0)</f>
        <v>5</v>
      </c>
      <c r="K13" s="2" t="s">
        <v>1257</v>
      </c>
      <c r="L13" s="29" t="s">
        <v>1244</v>
      </c>
      <c r="M13" s="21" t="s">
        <v>1253</v>
      </c>
      <c r="N13" s="48">
        <v>45667</v>
      </c>
      <c r="O13" s="21">
        <f>INDEX(Auxiliar!$D$5:$F$13,MATCH(Table1[[#This Row],[Tipologia_Testes]],Auxiliar!$B$5:$B$13,0),MATCH(Table1[[#This Row],[Complexidade]],Auxiliar!$D$4:$F$4,0))</f>
        <v>0.5</v>
      </c>
      <c r="P13" s="49" t="s">
        <v>1259</v>
      </c>
      <c r="Q13" s="33"/>
      <c r="R13" s="152">
        <v>45261</v>
      </c>
      <c r="S13" s="152"/>
      <c r="T13" s="152">
        <v>45510</v>
      </c>
      <c r="U13" s="152">
        <v>45624</v>
      </c>
      <c r="V13" s="152"/>
      <c r="W13" s="2">
        <f>VLOOKUP(Table1[[#This Row],[Status]],Auxiliar!$B$16:$D$24,3,0)*Table1[[#This Row],[Estimação (horas)]]</f>
        <v>0.125</v>
      </c>
      <c r="X13" s="169"/>
      <c r="Y13" s="173"/>
      <c r="Z13" s="171"/>
      <c r="AA13" s="171"/>
      <c r="AB13" s="171"/>
      <c r="AC13" s="171"/>
      <c r="AD13" s="171"/>
    </row>
    <row r="14" spans="1:45" ht="17.7" hidden="1" customHeight="1">
      <c r="B14" s="2" t="s">
        <v>26</v>
      </c>
      <c r="C14" s="2" t="s">
        <v>34</v>
      </c>
      <c r="D14" s="2" t="s">
        <v>1256</v>
      </c>
      <c r="E14" s="2" t="s">
        <v>38</v>
      </c>
      <c r="F14" s="2" t="s">
        <v>37</v>
      </c>
      <c r="G14" s="2" t="s">
        <v>43</v>
      </c>
      <c r="H14" s="57" t="str">
        <f>Table1[[#This Row],[Tabela]]&amp;Table1[[#This Row],[Campo]]</f>
        <v>ENERGY_CERTIFICATE_EST_INPUTPROPERTY_BRANCH_CODE</v>
      </c>
      <c r="I14" s="2" t="s">
        <v>615</v>
      </c>
      <c r="J14" s="43">
        <f>VLOOKUP(Table1[[#This Row],[Status]],Auxiliar!$B$16:$C$24,2,0)</f>
        <v>5</v>
      </c>
      <c r="K14" s="2" t="s">
        <v>1249</v>
      </c>
      <c r="L14" s="29" t="s">
        <v>1244</v>
      </c>
      <c r="M14" s="21" t="s">
        <v>1253</v>
      </c>
      <c r="N14" s="48">
        <v>45667</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8"/>
      <c r="Y14" s="172"/>
      <c r="Z14" s="26"/>
      <c r="AA14" s="26"/>
      <c r="AB14" s="26"/>
      <c r="AC14" s="26"/>
      <c r="AD14" s="26"/>
    </row>
    <row r="15" spans="1:45" ht="17.7" hidden="1" customHeight="1">
      <c r="B15" s="2" t="s">
        <v>26</v>
      </c>
      <c r="C15" s="2" t="s">
        <v>34</v>
      </c>
      <c r="D15" s="2" t="s">
        <v>1256</v>
      </c>
      <c r="E15" s="2" t="s">
        <v>38</v>
      </c>
      <c r="F15" s="2" t="s">
        <v>37</v>
      </c>
      <c r="G15" s="2" t="s">
        <v>43</v>
      </c>
      <c r="H15" s="57" t="str">
        <f>Table1[[#This Row],[Tabela]]&amp;Table1[[#This Row],[Campo]]</f>
        <v>ENERGY_CERTIFICATE_EST_INPUTPROPERTY_BRANCH_CODE</v>
      </c>
      <c r="I15" s="2" t="s">
        <v>615</v>
      </c>
      <c r="J15" s="43">
        <f>VLOOKUP(Table1[[#This Row],[Status]],Auxiliar!$B$16:$C$24,2,0)</f>
        <v>5</v>
      </c>
      <c r="K15" s="2" t="s">
        <v>1257</v>
      </c>
      <c r="L15" s="29" t="s">
        <v>1244</v>
      </c>
      <c r="M15" s="21" t="s">
        <v>1253</v>
      </c>
      <c r="N15" s="48">
        <v>45667</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8"/>
      <c r="Y15" s="172"/>
      <c r="Z15" s="26"/>
      <c r="AA15" s="26"/>
      <c r="AB15" s="26"/>
      <c r="AC15" s="26"/>
      <c r="AD15" s="26"/>
    </row>
    <row r="16" spans="1:45" ht="17.7" hidden="1" customHeight="1">
      <c r="B16" s="2" t="s">
        <v>26</v>
      </c>
      <c r="C16" s="2" t="s">
        <v>34</v>
      </c>
      <c r="D16" s="2" t="s">
        <v>1256</v>
      </c>
      <c r="E16" s="2" t="s">
        <v>38</v>
      </c>
      <c r="F16" s="2" t="s">
        <v>37</v>
      </c>
      <c r="G16" s="2" t="s">
        <v>44</v>
      </c>
      <c r="H16" s="57" t="str">
        <f>Table1[[#This Row],[Tabela]]&amp;Table1[[#This Row],[Campo]]</f>
        <v>ENERGY_CERTIFICATE_EST_INPUTPROPERTY_CONTRACT_ID</v>
      </c>
      <c r="I16" s="2" t="s">
        <v>615</v>
      </c>
      <c r="J16" s="43">
        <f>VLOOKUP(Table1[[#This Row],[Status]],Auxiliar!$B$16:$C$24,2,0)</f>
        <v>5</v>
      </c>
      <c r="K16" s="2" t="s">
        <v>1249</v>
      </c>
      <c r="L16" s="29" t="s">
        <v>1244</v>
      </c>
      <c r="M16" s="21" t="s">
        <v>1253</v>
      </c>
      <c r="N16" s="48">
        <v>45667</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8"/>
      <c r="Y16" s="172"/>
      <c r="Z16" s="26"/>
      <c r="AA16" s="26"/>
      <c r="AB16" s="26"/>
      <c r="AC16" s="26"/>
      <c r="AD16" s="26"/>
    </row>
    <row r="17" spans="2:30" ht="17.7" hidden="1" customHeight="1">
      <c r="B17" s="2" t="s">
        <v>26</v>
      </c>
      <c r="C17" s="2" t="s">
        <v>34</v>
      </c>
      <c r="D17" s="2" t="s">
        <v>1256</v>
      </c>
      <c r="E17" s="2" t="s">
        <v>38</v>
      </c>
      <c r="F17" s="2" t="s">
        <v>37</v>
      </c>
      <c r="G17" s="2" t="s">
        <v>44</v>
      </c>
      <c r="H17" s="57" t="str">
        <f>Table1[[#This Row],[Tabela]]&amp;Table1[[#This Row],[Campo]]</f>
        <v>ENERGY_CERTIFICATE_EST_INPUTPROPERTY_CONTRACT_ID</v>
      </c>
      <c r="I17" s="2" t="s">
        <v>615</v>
      </c>
      <c r="J17" s="43">
        <f>VLOOKUP(Table1[[#This Row],[Status]],Auxiliar!$B$16:$C$24,2,0)</f>
        <v>5</v>
      </c>
      <c r="K17" s="2" t="s">
        <v>1257</v>
      </c>
      <c r="L17" s="29" t="s">
        <v>1244</v>
      </c>
      <c r="M17" s="21" t="s">
        <v>1253</v>
      </c>
      <c r="N17" s="48">
        <v>45667</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8"/>
      <c r="Y17" s="172"/>
      <c r="Z17" s="26"/>
      <c r="AA17" s="26"/>
      <c r="AB17" s="26"/>
      <c r="AC17" s="26"/>
      <c r="AD17" s="26"/>
    </row>
    <row r="18" spans="2:30" ht="17.7" hidden="1" customHeight="1">
      <c r="B18" s="2" t="s">
        <v>26</v>
      </c>
      <c r="C18" s="2" t="s">
        <v>34</v>
      </c>
      <c r="D18" s="2" t="s">
        <v>1256</v>
      </c>
      <c r="E18" s="2" t="s">
        <v>38</v>
      </c>
      <c r="F18" s="2" t="s">
        <v>37</v>
      </c>
      <c r="G18" s="2" t="s">
        <v>45</v>
      </c>
      <c r="H18" s="57" t="str">
        <f>Table1[[#This Row],[Tabela]]&amp;Table1[[#This Row],[Campo]]</f>
        <v>ENERGY_CERTIFICATE_EST_INPUTPROPERTY_REFERENCE_CODE</v>
      </c>
      <c r="I18" s="2" t="s">
        <v>615</v>
      </c>
      <c r="J18" s="43">
        <f>VLOOKUP(Table1[[#This Row],[Status]],Auxiliar!$B$16:$C$24,2,0)</f>
        <v>5</v>
      </c>
      <c r="K18" s="2" t="s">
        <v>1249</v>
      </c>
      <c r="L18" s="29" t="s">
        <v>1244</v>
      </c>
      <c r="M18" s="21" t="s">
        <v>1253</v>
      </c>
      <c r="N18" s="48">
        <v>45667</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8"/>
      <c r="Y18" s="172"/>
      <c r="Z18" s="26"/>
      <c r="AA18" s="26"/>
      <c r="AB18" s="26"/>
      <c r="AC18" s="26"/>
      <c r="AD18" s="26"/>
    </row>
    <row r="19" spans="2:30" ht="17.7" hidden="1" customHeight="1">
      <c r="B19" s="2" t="s">
        <v>26</v>
      </c>
      <c r="C19" s="2" t="s">
        <v>34</v>
      </c>
      <c r="D19" s="2" t="s">
        <v>1256</v>
      </c>
      <c r="E19" s="2" t="s">
        <v>38</v>
      </c>
      <c r="F19" s="2" t="s">
        <v>37</v>
      </c>
      <c r="G19" s="2" t="s">
        <v>45</v>
      </c>
      <c r="H19" s="57" t="str">
        <f>Table1[[#This Row],[Tabela]]&amp;Table1[[#This Row],[Campo]]</f>
        <v>ENERGY_CERTIFICATE_EST_INPUTPROPERTY_REFERENCE_CODE</v>
      </c>
      <c r="I19" s="2" t="s">
        <v>615</v>
      </c>
      <c r="J19" s="43">
        <f>VLOOKUP(Table1[[#This Row],[Status]],Auxiliar!$B$16:$C$24,2,0)</f>
        <v>5</v>
      </c>
      <c r="K19" s="2" t="s">
        <v>1257</v>
      </c>
      <c r="L19" s="29" t="s">
        <v>1244</v>
      </c>
      <c r="M19" s="21" t="s">
        <v>1253</v>
      </c>
      <c r="N19" s="48">
        <v>45667</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8"/>
      <c r="Y19" s="172"/>
      <c r="Z19" s="26"/>
      <c r="AA19" s="26"/>
      <c r="AB19" s="26"/>
      <c r="AC19" s="26"/>
      <c r="AD19" s="26"/>
    </row>
    <row r="20" spans="2:30" ht="17.7" hidden="1" customHeight="1">
      <c r="B20" s="2" t="s">
        <v>26</v>
      </c>
      <c r="C20" s="2" t="s">
        <v>34</v>
      </c>
      <c r="D20" s="2" t="s">
        <v>1256</v>
      </c>
      <c r="E20" s="2" t="s">
        <v>38</v>
      </c>
      <c r="F20" s="2" t="s">
        <v>37</v>
      </c>
      <c r="G20" s="2" t="s">
        <v>46</v>
      </c>
      <c r="H20" s="57" t="str">
        <f>Table1[[#This Row],[Tabela]]&amp;Table1[[#This Row],[Campo]]</f>
        <v>ENERGY_CERTIFICATE_EST_INPUTDATA_EXTRACTION_DATE</v>
      </c>
      <c r="I20" s="2" t="s">
        <v>615</v>
      </c>
      <c r="J20" s="43">
        <f>VLOOKUP(Table1[[#This Row],[Status]],Auxiliar!$B$16:$C$24,2,0)</f>
        <v>5</v>
      </c>
      <c r="K20" s="2" t="s">
        <v>1249</v>
      </c>
      <c r="L20" s="29" t="s">
        <v>1244</v>
      </c>
      <c r="M20" s="21" t="s">
        <v>1253</v>
      </c>
      <c r="N20" s="48">
        <v>45667</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8"/>
      <c r="Y20" s="172"/>
      <c r="Z20" s="26"/>
      <c r="AA20" s="26"/>
      <c r="AB20" s="26"/>
      <c r="AC20" s="26"/>
      <c r="AD20" s="26"/>
    </row>
    <row r="21" spans="2:30" ht="17.7" hidden="1" customHeight="1">
      <c r="B21" s="2" t="s">
        <v>26</v>
      </c>
      <c r="C21" s="2" t="s">
        <v>34</v>
      </c>
      <c r="D21" s="2" t="s">
        <v>1256</v>
      </c>
      <c r="E21" s="2" t="s">
        <v>38</v>
      </c>
      <c r="F21" s="2" t="s">
        <v>37</v>
      </c>
      <c r="G21" s="2" t="s">
        <v>46</v>
      </c>
      <c r="H21" s="57" t="str">
        <f>Table1[[#This Row],[Tabela]]&amp;Table1[[#This Row],[Campo]]</f>
        <v>ENERGY_CERTIFICATE_EST_INPUTDATA_EXTRACTION_DATE</v>
      </c>
      <c r="I21" s="2" t="s">
        <v>615</v>
      </c>
      <c r="J21" s="43">
        <f>VLOOKUP(Table1[[#This Row],[Status]],Auxiliar!$B$16:$C$24,2,0)</f>
        <v>5</v>
      </c>
      <c r="K21" s="2" t="s">
        <v>1257</v>
      </c>
      <c r="L21" s="29" t="s">
        <v>1244</v>
      </c>
      <c r="M21" s="21" t="s">
        <v>1253</v>
      </c>
      <c r="N21" s="48">
        <v>45667</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8"/>
      <c r="Y21" s="172"/>
      <c r="Z21" s="26"/>
      <c r="AA21" s="26"/>
      <c r="AB21" s="26"/>
      <c r="AC21" s="26"/>
      <c r="AD21" s="26"/>
    </row>
    <row r="22" spans="2:30" ht="17.7" hidden="1" customHeight="1">
      <c r="B22" s="2" t="s">
        <v>26</v>
      </c>
      <c r="C22" s="2" t="s">
        <v>34</v>
      </c>
      <c r="D22" s="2" t="s">
        <v>1256</v>
      </c>
      <c r="E22" s="2" t="s">
        <v>38</v>
      </c>
      <c r="F22" s="2" t="s">
        <v>37</v>
      </c>
      <c r="G22" s="2" t="s">
        <v>47</v>
      </c>
      <c r="H22" s="57" t="str">
        <f>Table1[[#This Row],[Tabela]]&amp;Table1[[#This Row],[Campo]]</f>
        <v>ENERGY_CERTIFICATE_EST_INPUTEPC</v>
      </c>
      <c r="I22" s="2" t="s">
        <v>615</v>
      </c>
      <c r="J22" s="43">
        <f>VLOOKUP(Table1[[#This Row],[Status]],Auxiliar!$B$16:$C$24,2,0)</f>
        <v>5</v>
      </c>
      <c r="K22" s="2" t="s">
        <v>1249</v>
      </c>
      <c r="L22" s="29" t="s">
        <v>1244</v>
      </c>
      <c r="M22" s="21" t="s">
        <v>1253</v>
      </c>
      <c r="N22" s="48">
        <v>45667</v>
      </c>
      <c r="O22" s="21">
        <f>INDEX(Auxiliar!$D$5:$F$13,MATCH(Table1[[#This Row],[Tipologia_Testes]],Auxiliar!$B$5:$B$13,0),MATCH(Table1[[#This Row],[Complexidade]],Auxiliar!$D$4:$F$4,0))</f>
        <v>0.1</v>
      </c>
      <c r="P22" s="2" t="s">
        <v>1260</v>
      </c>
      <c r="Q22" s="2"/>
      <c r="R22" s="152">
        <v>45261</v>
      </c>
      <c r="S22" s="152"/>
      <c r="T22" s="152">
        <v>45510</v>
      </c>
      <c r="U22" s="152">
        <v>45624</v>
      </c>
      <c r="V22" s="152"/>
      <c r="W22" s="2">
        <f>VLOOKUP(Table1[[#This Row],[Status]],Auxiliar!$B$16:$D$24,3,0)*Table1[[#This Row],[Estimação (horas)]]</f>
        <v>2.5000000000000001E-2</v>
      </c>
      <c r="X22" s="168"/>
      <c r="Y22" s="172"/>
      <c r="Z22" s="26"/>
      <c r="AA22" s="26"/>
      <c r="AB22" s="26"/>
      <c r="AC22" s="26"/>
      <c r="AD22" s="26"/>
    </row>
    <row r="23" spans="2:30" ht="17.7" hidden="1" customHeight="1">
      <c r="B23" s="2" t="s">
        <v>26</v>
      </c>
      <c r="C23" s="2" t="s">
        <v>34</v>
      </c>
      <c r="D23" s="2" t="s">
        <v>1256</v>
      </c>
      <c r="E23" s="2" t="s">
        <v>38</v>
      </c>
      <c r="F23" s="2" t="s">
        <v>37</v>
      </c>
      <c r="G23" s="2" t="s">
        <v>47</v>
      </c>
      <c r="H23" s="57" t="str">
        <f>Table1[[#This Row],[Tabela]]&amp;Table1[[#This Row],[Campo]]</f>
        <v>ENERGY_CERTIFICATE_EST_INPUTEPC</v>
      </c>
      <c r="I23" s="2" t="s">
        <v>615</v>
      </c>
      <c r="J23" s="43">
        <f>VLOOKUP(Table1[[#This Row],[Status]],Auxiliar!$B$16:$C$24,2,0)</f>
        <v>5</v>
      </c>
      <c r="K23" s="2" t="s">
        <v>1257</v>
      </c>
      <c r="L23" s="29" t="s">
        <v>1244</v>
      </c>
      <c r="M23" s="21" t="s">
        <v>1253</v>
      </c>
      <c r="N23" s="48">
        <v>45667</v>
      </c>
      <c r="O23" s="21">
        <f>INDEX(Auxiliar!$D$5:$F$13,MATCH(Table1[[#This Row],[Tipologia_Testes]],Auxiliar!$B$5:$B$13,0),MATCH(Table1[[#This Row],[Complexidade]],Auxiliar!$D$4:$F$4,0))</f>
        <v>0.5</v>
      </c>
      <c r="P23" s="2" t="s">
        <v>1260</v>
      </c>
      <c r="Q23" s="2"/>
      <c r="R23" s="152">
        <v>45261</v>
      </c>
      <c r="S23" s="152"/>
      <c r="T23" s="152">
        <v>45510</v>
      </c>
      <c r="U23" s="152">
        <v>45624</v>
      </c>
      <c r="V23" s="152"/>
      <c r="W23" s="2">
        <f>VLOOKUP(Table1[[#This Row],[Status]],Auxiliar!$B$16:$D$24,3,0)*Table1[[#This Row],[Estimação (horas)]]</f>
        <v>0.125</v>
      </c>
      <c r="X23" s="168"/>
      <c r="Y23" s="172"/>
      <c r="Z23" s="26"/>
      <c r="AA23" s="26"/>
      <c r="AB23" s="26"/>
      <c r="AC23" s="26"/>
      <c r="AD23" s="26"/>
    </row>
    <row r="24" spans="2:30" ht="17.7" hidden="1" customHeight="1">
      <c r="B24" s="2" t="s">
        <v>26</v>
      </c>
      <c r="C24" s="2" t="s">
        <v>34</v>
      </c>
      <c r="D24" s="2" t="s">
        <v>1256</v>
      </c>
      <c r="E24" s="2" t="s">
        <v>38</v>
      </c>
      <c r="F24" s="2" t="s">
        <v>37</v>
      </c>
      <c r="G24" s="2" t="s">
        <v>48</v>
      </c>
      <c r="H24" s="57" t="str">
        <f>Table1[[#This Row],[Tabela]]&amp;Table1[[#This Row],[Campo]]</f>
        <v>ENERGY_CERTIFICATE_EST_INPUTDATA_PROVIDER</v>
      </c>
      <c r="I24" s="2" t="s">
        <v>615</v>
      </c>
      <c r="J24" s="43">
        <f>VLOOKUP(Table1[[#This Row],[Status]],Auxiliar!$B$16:$C$24,2,0)</f>
        <v>5</v>
      </c>
      <c r="K24" s="2" t="s">
        <v>1249</v>
      </c>
      <c r="L24" s="29" t="s">
        <v>1244</v>
      </c>
      <c r="M24" s="21" t="s">
        <v>1253</v>
      </c>
      <c r="N24" s="48">
        <v>45667</v>
      </c>
      <c r="O24" s="21">
        <f>INDEX(Auxiliar!$D$5:$F$13,MATCH(Table1[[#This Row],[Tipologia_Testes]],Auxiliar!$B$5:$B$13,0),MATCH(Table1[[#This Row],[Complexidade]],Auxiliar!$D$4:$F$4,0))</f>
        <v>0.1</v>
      </c>
      <c r="P24" s="49" t="s">
        <v>1261</v>
      </c>
      <c r="Q24" s="33"/>
      <c r="R24" s="152">
        <v>45261</v>
      </c>
      <c r="S24" s="152"/>
      <c r="T24" s="152">
        <v>45510</v>
      </c>
      <c r="U24" s="152">
        <v>45624</v>
      </c>
      <c r="V24" s="152"/>
      <c r="W24" s="2">
        <f>VLOOKUP(Table1[[#This Row],[Status]],Auxiliar!$B$16:$D$24,3,0)*Table1[[#This Row],[Estimação (horas)]]</f>
        <v>2.5000000000000001E-2</v>
      </c>
      <c r="X24" s="169"/>
      <c r="Y24" s="173"/>
      <c r="Z24" s="171"/>
      <c r="AA24" s="171"/>
      <c r="AB24" s="171"/>
      <c r="AC24" s="171"/>
      <c r="AD24" s="171"/>
    </row>
    <row r="25" spans="2:30" ht="17.7" hidden="1" customHeight="1">
      <c r="B25" s="2" t="s">
        <v>26</v>
      </c>
      <c r="C25" s="2" t="s">
        <v>34</v>
      </c>
      <c r="D25" s="2" t="s">
        <v>1256</v>
      </c>
      <c r="E25" s="2" t="s">
        <v>38</v>
      </c>
      <c r="F25" s="2" t="s">
        <v>37</v>
      </c>
      <c r="G25" s="2" t="s">
        <v>48</v>
      </c>
      <c r="H25" s="57" t="str">
        <f>Table1[[#This Row],[Tabela]]&amp;Table1[[#This Row],[Campo]]</f>
        <v>ENERGY_CERTIFICATE_EST_INPUTDATA_PROVIDER</v>
      </c>
      <c r="I25" s="2" t="s">
        <v>615</v>
      </c>
      <c r="J25" s="43">
        <f>VLOOKUP(Table1[[#This Row],[Status]],Auxiliar!$B$16:$C$24,2,0)</f>
        <v>5</v>
      </c>
      <c r="K25" s="2" t="s">
        <v>1257</v>
      </c>
      <c r="L25" s="29" t="s">
        <v>1244</v>
      </c>
      <c r="M25" s="21" t="s">
        <v>1253</v>
      </c>
      <c r="N25" s="48">
        <v>45667</v>
      </c>
      <c r="O25" s="21">
        <f>INDEX(Auxiliar!$D$5:$F$13,MATCH(Table1[[#This Row],[Tipologia_Testes]],Auxiliar!$B$5:$B$13,0),MATCH(Table1[[#This Row],[Complexidade]],Auxiliar!$D$4:$F$4,0))</f>
        <v>0.5</v>
      </c>
      <c r="P25" s="49" t="s">
        <v>1261</v>
      </c>
      <c r="Q25" s="33"/>
      <c r="R25" s="152">
        <v>45261</v>
      </c>
      <c r="S25" s="152"/>
      <c r="T25" s="152">
        <v>45510</v>
      </c>
      <c r="U25" s="152">
        <v>45624</v>
      </c>
      <c r="V25" s="152"/>
      <c r="W25" s="2">
        <f>VLOOKUP(Table1[[#This Row],[Status]],Auxiliar!$B$16:$D$24,3,0)*Table1[[#This Row],[Estimação (horas)]]</f>
        <v>0.125</v>
      </c>
      <c r="X25" s="169"/>
      <c r="Y25" s="173"/>
      <c r="Z25" s="171"/>
      <c r="AA25" s="171"/>
      <c r="AB25" s="171"/>
      <c r="AC25" s="171"/>
      <c r="AD25" s="171"/>
    </row>
    <row r="26" spans="2:30" ht="17.7" hidden="1" customHeight="1">
      <c r="B26" s="2" t="s">
        <v>26</v>
      </c>
      <c r="C26" s="2" t="s">
        <v>34</v>
      </c>
      <c r="D26" s="2" t="s">
        <v>1256</v>
      </c>
      <c r="E26" s="2" t="s">
        <v>38</v>
      </c>
      <c r="F26" s="2" t="s">
        <v>37</v>
      </c>
      <c r="G26" s="2" t="s">
        <v>49</v>
      </c>
      <c r="H26" s="57" t="str">
        <f>Table1[[#This Row],[Tabela]]&amp;Table1[[#This Row],[Campo]]</f>
        <v>ENERGY_CERTIFICATE_EST_INPUTACTUAL_VALUE_IND</v>
      </c>
      <c r="I26" s="2" t="s">
        <v>615</v>
      </c>
      <c r="J26" s="43">
        <f>VLOOKUP(Table1[[#This Row],[Status]],Auxiliar!$B$16:$C$24,2,0)</f>
        <v>5</v>
      </c>
      <c r="K26" s="2" t="s">
        <v>1249</v>
      </c>
      <c r="L26" s="29" t="s">
        <v>1244</v>
      </c>
      <c r="M26" s="21" t="s">
        <v>1253</v>
      </c>
      <c r="N26" s="48">
        <v>45667</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8"/>
      <c r="Y26" s="172"/>
      <c r="Z26" s="26"/>
      <c r="AA26" s="26"/>
      <c r="AB26" s="26"/>
      <c r="AC26" s="26"/>
      <c r="AD26" s="26"/>
    </row>
    <row r="27" spans="2:30" ht="17.7" hidden="1" customHeight="1">
      <c r="B27" s="2" t="s">
        <v>26</v>
      </c>
      <c r="C27" s="2" t="s">
        <v>34</v>
      </c>
      <c r="D27" s="2" t="s">
        <v>1256</v>
      </c>
      <c r="E27" s="2" t="s">
        <v>38</v>
      </c>
      <c r="F27" s="2" t="s">
        <v>37</v>
      </c>
      <c r="G27" s="2" t="s">
        <v>49</v>
      </c>
      <c r="H27" s="57" t="str">
        <f>Table1[[#This Row],[Tabela]]&amp;Table1[[#This Row],[Campo]]</f>
        <v>ENERGY_CERTIFICATE_EST_INPUTACTUAL_VALUE_IND</v>
      </c>
      <c r="I27" s="2" t="s">
        <v>615</v>
      </c>
      <c r="J27" s="43">
        <f>VLOOKUP(Table1[[#This Row],[Status]],Auxiliar!$B$16:$C$24,2,0)</f>
        <v>5</v>
      </c>
      <c r="K27" s="2" t="s">
        <v>1257</v>
      </c>
      <c r="L27" s="29" t="s">
        <v>1244</v>
      </c>
      <c r="M27" s="21" t="s">
        <v>1253</v>
      </c>
      <c r="N27" s="48">
        <v>45667</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8"/>
      <c r="Y27" s="172"/>
      <c r="Z27" s="26"/>
      <c r="AA27" s="26"/>
      <c r="AB27" s="26"/>
      <c r="AC27" s="26"/>
      <c r="AD27" s="26"/>
    </row>
    <row r="28" spans="2:30" ht="17.7" hidden="1" customHeight="1">
      <c r="B28" s="2" t="s">
        <v>26</v>
      </c>
      <c r="C28" s="2" t="s">
        <v>34</v>
      </c>
      <c r="D28" s="2" t="s">
        <v>1256</v>
      </c>
      <c r="E28" s="2" t="s">
        <v>38</v>
      </c>
      <c r="F28" s="2" t="s">
        <v>37</v>
      </c>
      <c r="G28" s="2" t="s">
        <v>50</v>
      </c>
      <c r="H28" s="57" t="str">
        <f>Table1[[#This Row],[Tabela]]&amp;Table1[[#This Row],[Campo]]</f>
        <v>ENERGY_CERTIFICATE_EST_INPUTQUALITY_SCORE</v>
      </c>
      <c r="I28" s="2" t="s">
        <v>615</v>
      </c>
      <c r="J28" s="43">
        <f>VLOOKUP(Table1[[#This Row],[Status]],Auxiliar!$B$16:$C$24,2,0)</f>
        <v>5</v>
      </c>
      <c r="K28" s="2" t="s">
        <v>1249</v>
      </c>
      <c r="L28" s="29" t="s">
        <v>1244</v>
      </c>
      <c r="M28" s="21" t="s">
        <v>1253</v>
      </c>
      <c r="N28" s="48">
        <v>45667</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8"/>
      <c r="Y28" s="172"/>
      <c r="Z28" s="26"/>
      <c r="AA28" s="26"/>
      <c r="AB28" s="26"/>
      <c r="AC28" s="26"/>
      <c r="AD28" s="26"/>
    </row>
    <row r="29" spans="2:30" ht="17.7" hidden="1" customHeight="1">
      <c r="B29" s="2" t="s">
        <v>26</v>
      </c>
      <c r="C29" s="2" t="s">
        <v>34</v>
      </c>
      <c r="D29" s="2" t="s">
        <v>1256</v>
      </c>
      <c r="E29" s="2" t="s">
        <v>38</v>
      </c>
      <c r="F29" s="2" t="s">
        <v>37</v>
      </c>
      <c r="G29" s="2" t="s">
        <v>50</v>
      </c>
      <c r="H29" s="57" t="str">
        <f>Table1[[#This Row],[Tabela]]&amp;Table1[[#This Row],[Campo]]</f>
        <v>ENERGY_CERTIFICATE_EST_INPUTQUALITY_SCORE</v>
      </c>
      <c r="I29" s="2" t="s">
        <v>615</v>
      </c>
      <c r="J29" s="43">
        <f>VLOOKUP(Table1[[#This Row],[Status]],Auxiliar!$B$16:$C$24,2,0)</f>
        <v>5</v>
      </c>
      <c r="K29" s="2" t="s">
        <v>1257</v>
      </c>
      <c r="L29" s="29" t="s">
        <v>1244</v>
      </c>
      <c r="M29" s="21" t="s">
        <v>1253</v>
      </c>
      <c r="N29" s="48">
        <v>45667</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8"/>
      <c r="Y29" s="172"/>
      <c r="Z29" s="26"/>
      <c r="AA29" s="26"/>
      <c r="AB29" s="26"/>
      <c r="AC29" s="26"/>
      <c r="AD29" s="26"/>
    </row>
    <row r="30" spans="2:30" ht="17.7" hidden="1" customHeight="1">
      <c r="B30" s="2" t="s">
        <v>26</v>
      </c>
      <c r="C30" s="2" t="s">
        <v>34</v>
      </c>
      <c r="D30" s="2" t="s">
        <v>1256</v>
      </c>
      <c r="E30" s="2" t="s">
        <v>38</v>
      </c>
      <c r="F30" s="2" t="s">
        <v>37</v>
      </c>
      <c r="G30" s="2" t="s">
        <v>51</v>
      </c>
      <c r="H30" s="57" t="str">
        <f>Table1[[#This Row],[Tabela]]&amp;Table1[[#This Row],[Campo]]</f>
        <v>ENERGY_CERTIFICATE_EST_INPUTENERGY_CONSUMPTION_VALUE_YEAR</v>
      </c>
      <c r="I30" s="2" t="s">
        <v>615</v>
      </c>
      <c r="J30" s="43">
        <f>VLOOKUP(Table1[[#This Row],[Status]],Auxiliar!$B$16:$C$24,2,0)</f>
        <v>5</v>
      </c>
      <c r="K30" s="2" t="s">
        <v>1249</v>
      </c>
      <c r="L30" s="29" t="s">
        <v>1244</v>
      </c>
      <c r="M30" s="21" t="s">
        <v>1253</v>
      </c>
      <c r="N30" s="48">
        <v>45667</v>
      </c>
      <c r="O30" s="21">
        <f>INDEX(Auxiliar!$D$5:$F$13,MATCH(Table1[[#This Row],[Tipologia_Testes]],Auxiliar!$B$5:$B$13,0),MATCH(Table1[[#This Row],[Complexidade]],Auxiliar!$D$4:$F$4,0))</f>
        <v>0.1</v>
      </c>
      <c r="P30" s="2" t="s">
        <v>1260</v>
      </c>
      <c r="Q30" s="2"/>
      <c r="R30" s="152">
        <v>45261</v>
      </c>
      <c r="S30" s="152"/>
      <c r="T30" s="152">
        <v>45510</v>
      </c>
      <c r="U30" s="152">
        <v>45624</v>
      </c>
      <c r="V30" s="152"/>
      <c r="W30" s="2">
        <f>VLOOKUP(Table1[[#This Row],[Status]],Auxiliar!$B$16:$D$24,3,0)*Table1[[#This Row],[Estimação (horas)]]</f>
        <v>2.5000000000000001E-2</v>
      </c>
      <c r="X30" s="168"/>
      <c r="Y30" s="172"/>
      <c r="Z30" s="26"/>
      <c r="AA30" s="26"/>
      <c r="AB30" s="26"/>
      <c r="AC30" s="26"/>
      <c r="AD30" s="26"/>
    </row>
    <row r="31" spans="2:30" ht="17.7" hidden="1" customHeight="1">
      <c r="B31" s="2" t="s">
        <v>26</v>
      </c>
      <c r="C31" s="2" t="s">
        <v>34</v>
      </c>
      <c r="D31" s="2" t="s">
        <v>1256</v>
      </c>
      <c r="E31" s="2" t="s">
        <v>38</v>
      </c>
      <c r="F31" s="2" t="s">
        <v>37</v>
      </c>
      <c r="G31" s="2" t="s">
        <v>51</v>
      </c>
      <c r="H31" s="57" t="str">
        <f>Table1[[#This Row],[Tabela]]&amp;Table1[[#This Row],[Campo]]</f>
        <v>ENERGY_CERTIFICATE_EST_INPUTENERGY_CONSUMPTION_VALUE_YEAR</v>
      </c>
      <c r="I31" s="2" t="s">
        <v>615</v>
      </c>
      <c r="J31" s="43">
        <f>VLOOKUP(Table1[[#This Row],[Status]],Auxiliar!$B$16:$C$24,2,0)</f>
        <v>5</v>
      </c>
      <c r="K31" s="2" t="s">
        <v>1257</v>
      </c>
      <c r="L31" s="29" t="s">
        <v>1244</v>
      </c>
      <c r="M31" s="21" t="s">
        <v>1253</v>
      </c>
      <c r="N31" s="48">
        <v>45667</v>
      </c>
      <c r="O31" s="21">
        <f>INDEX(Auxiliar!$D$5:$F$13,MATCH(Table1[[#This Row],[Tipologia_Testes]],Auxiliar!$B$5:$B$13,0),MATCH(Table1[[#This Row],[Complexidade]],Auxiliar!$D$4:$F$4,0))</f>
        <v>0.5</v>
      </c>
      <c r="P31" s="2" t="s">
        <v>1260</v>
      </c>
      <c r="Q31" s="2"/>
      <c r="R31" s="152">
        <v>45261</v>
      </c>
      <c r="S31" s="152"/>
      <c r="T31" s="152">
        <v>45510</v>
      </c>
      <c r="U31" s="152">
        <v>45624</v>
      </c>
      <c r="V31" s="152"/>
      <c r="W31" s="2">
        <f>VLOOKUP(Table1[[#This Row],[Status]],Auxiliar!$B$16:$D$24,3,0)*Table1[[#This Row],[Estimação (horas)]]</f>
        <v>0.125</v>
      </c>
      <c r="X31" s="168"/>
      <c r="Y31" s="172"/>
      <c r="Z31" s="26"/>
      <c r="AA31" s="26"/>
      <c r="AB31" s="26"/>
      <c r="AC31" s="26"/>
      <c r="AD31" s="26"/>
    </row>
    <row r="32" spans="2:30" ht="17.7" hidden="1" customHeight="1">
      <c r="B32" s="2" t="s">
        <v>26</v>
      </c>
      <c r="C32" s="2" t="s">
        <v>34</v>
      </c>
      <c r="D32" s="2" t="s">
        <v>1256</v>
      </c>
      <c r="E32" s="2" t="s">
        <v>38</v>
      </c>
      <c r="F32" s="2" t="s">
        <v>37</v>
      </c>
      <c r="G32" s="2" t="s">
        <v>52</v>
      </c>
      <c r="H32" s="57" t="str">
        <f>Table1[[#This Row],[Tabela]]&amp;Table1[[#This Row],[Campo]]</f>
        <v>ENERGY_CERTIFICATE_EST_INPUTCARBON_EMISSION_VALUE_YEAR</v>
      </c>
      <c r="I32" s="2" t="s">
        <v>615</v>
      </c>
      <c r="J32" s="43">
        <f>VLOOKUP(Table1[[#This Row],[Status]],Auxiliar!$B$16:$C$24,2,0)</f>
        <v>5</v>
      </c>
      <c r="K32" s="2" t="s">
        <v>1249</v>
      </c>
      <c r="L32" s="29" t="s">
        <v>1244</v>
      </c>
      <c r="M32" s="21" t="s">
        <v>1253</v>
      </c>
      <c r="N32" s="48">
        <v>45667</v>
      </c>
      <c r="O32" s="21">
        <f>INDEX(Auxiliar!$D$5:$F$13,MATCH(Table1[[#This Row],[Tipologia_Testes]],Auxiliar!$B$5:$B$13,0),MATCH(Table1[[#This Row],[Complexidade]],Auxiliar!$D$4:$F$4,0))</f>
        <v>0.1</v>
      </c>
      <c r="P32" s="2" t="s">
        <v>1260</v>
      </c>
      <c r="Q32" s="2"/>
      <c r="R32" s="152">
        <v>45261</v>
      </c>
      <c r="S32" s="152"/>
      <c r="T32" s="152">
        <v>45510</v>
      </c>
      <c r="U32" s="152">
        <v>45624</v>
      </c>
      <c r="V32" s="152"/>
      <c r="W32" s="2">
        <f>VLOOKUP(Table1[[#This Row],[Status]],Auxiliar!$B$16:$D$24,3,0)*Table1[[#This Row],[Estimação (horas)]]</f>
        <v>2.5000000000000001E-2</v>
      </c>
      <c r="X32" s="168"/>
      <c r="Y32" s="172"/>
      <c r="Z32" s="26"/>
      <c r="AA32" s="26"/>
      <c r="AB32" s="26"/>
      <c r="AC32" s="26"/>
      <c r="AD32" s="26"/>
    </row>
    <row r="33" spans="2:30" ht="17.7" hidden="1" customHeight="1">
      <c r="B33" s="2" t="s">
        <v>26</v>
      </c>
      <c r="C33" s="2" t="s">
        <v>34</v>
      </c>
      <c r="D33" s="2" t="s">
        <v>1256</v>
      </c>
      <c r="E33" s="2" t="s">
        <v>38</v>
      </c>
      <c r="F33" s="2" t="s">
        <v>37</v>
      </c>
      <c r="G33" s="2" t="s">
        <v>52</v>
      </c>
      <c r="H33" s="57" t="str">
        <f>Table1[[#This Row],[Tabela]]&amp;Table1[[#This Row],[Campo]]</f>
        <v>ENERGY_CERTIFICATE_EST_INPUTCARBON_EMISSION_VALUE_YEAR</v>
      </c>
      <c r="I33" s="2" t="s">
        <v>615</v>
      </c>
      <c r="J33" s="43">
        <f>VLOOKUP(Table1[[#This Row],[Status]],Auxiliar!$B$16:$C$24,2,0)</f>
        <v>5</v>
      </c>
      <c r="K33" s="2" t="s">
        <v>1257</v>
      </c>
      <c r="L33" s="29" t="s">
        <v>1244</v>
      </c>
      <c r="M33" s="21" t="s">
        <v>1253</v>
      </c>
      <c r="N33" s="48">
        <v>45667</v>
      </c>
      <c r="O33" s="21">
        <f>INDEX(Auxiliar!$D$5:$F$13,MATCH(Table1[[#This Row],[Tipologia_Testes]],Auxiliar!$B$5:$B$13,0),MATCH(Table1[[#This Row],[Complexidade]],Auxiliar!$D$4:$F$4,0))</f>
        <v>0.5</v>
      </c>
      <c r="P33" s="2" t="s">
        <v>1260</v>
      </c>
      <c r="Q33" s="2"/>
      <c r="R33" s="152">
        <v>45261</v>
      </c>
      <c r="S33" s="152"/>
      <c r="T33" s="152">
        <v>45510</v>
      </c>
      <c r="U33" s="152">
        <v>45624</v>
      </c>
      <c r="V33" s="152"/>
      <c r="W33" s="2">
        <f>VLOOKUP(Table1[[#This Row],[Status]],Auxiliar!$B$16:$D$24,3,0)*Table1[[#This Row],[Estimação (horas)]]</f>
        <v>0.125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1243</v>
      </c>
      <c r="L34" s="29" t="s">
        <v>1244</v>
      </c>
      <c r="M34" s="21" t="s">
        <v>1245</v>
      </c>
      <c r="N34" s="48">
        <v>45505</v>
      </c>
      <c r="O34" s="21">
        <f>INDEX(Auxiliar!$D$5:$F$13,MATCH(Table1[[#This Row],[Tipologia_Testes]],Auxiliar!$B$5:$B$13,0),MATCH(Table1[[#This Row],[Complexidade]],Auxiliar!$D$4:$F$4,0))</f>
        <v>8</v>
      </c>
      <c r="P34" s="23" t="s">
        <v>1262</v>
      </c>
      <c r="Q34" s="2" t="s">
        <v>1263</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1246</v>
      </c>
      <c r="L35" s="29" t="s">
        <v>1264</v>
      </c>
      <c r="M35" s="21" t="s">
        <v>1254</v>
      </c>
      <c r="N35" s="48">
        <v>45505</v>
      </c>
      <c r="O35" s="21">
        <f>INDEX(Auxiliar!$D$5:$F$13,MATCH(Table1[[#This Row],[Tipologia_Testes]],Auxiliar!$B$5:$B$13,0),MATCH(Table1[[#This Row],[Complexidade]],Auxiliar!$D$4:$F$4,0))</f>
        <v>4</v>
      </c>
      <c r="P35" s="23" t="s">
        <v>1265</v>
      </c>
      <c r="Q35" s="2" t="s">
        <v>1263</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1246</v>
      </c>
      <c r="L36" s="29" t="s">
        <v>1244</v>
      </c>
      <c r="M36" s="21" t="s">
        <v>1254</v>
      </c>
      <c r="N36" s="48">
        <v>45505</v>
      </c>
      <c r="O36" s="21">
        <f>INDEX(Auxiliar!$D$5:$F$13,MATCH(Table1[[#This Row],[Tipologia_Testes]],Auxiliar!$B$5:$B$13,0),MATCH(Table1[[#This Row],[Complexidade]],Auxiliar!$D$4:$F$4,0))</f>
        <v>4</v>
      </c>
      <c r="P36" s="2"/>
      <c r="Q36" s="2" t="s">
        <v>1263</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1247</v>
      </c>
      <c r="L37" s="29" t="s">
        <v>1244</v>
      </c>
      <c r="M37" s="21" t="s">
        <v>1254</v>
      </c>
      <c r="N37" s="48">
        <v>45505</v>
      </c>
      <c r="O37" s="21">
        <f>INDEX(Auxiliar!$D$5:$F$13,MATCH(Table1[[#This Row],[Tipologia_Testes]],Auxiliar!$B$5:$B$13,0),MATCH(Table1[[#This Row],[Complexidade]],Auxiliar!$D$4:$F$4,0))</f>
        <v>4</v>
      </c>
      <c r="P37" s="2"/>
      <c r="Q37" s="2" t="s">
        <v>1263</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1249</v>
      </c>
      <c r="L38" s="29" t="s">
        <v>1244</v>
      </c>
      <c r="M38" s="21" t="s">
        <v>1254</v>
      </c>
      <c r="N38" s="48">
        <v>45505</v>
      </c>
      <c r="O38" s="21">
        <f>INDEX(Auxiliar!$D$5:$F$13,MATCH(Table1[[#This Row],[Tipologia_Testes]],Auxiliar!$B$5:$B$13,0),MATCH(Table1[[#This Row],[Complexidade]],Auxiliar!$D$4:$F$4,0))</f>
        <v>0.1</v>
      </c>
      <c r="P38" s="2"/>
      <c r="Q38" s="2" t="s">
        <v>1263</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1246</v>
      </c>
      <c r="L39" s="29" t="s">
        <v>1252</v>
      </c>
      <c r="M39" s="21" t="s">
        <v>1253</v>
      </c>
      <c r="N39" s="48">
        <v>45485</v>
      </c>
      <c r="O39" s="21">
        <f>INDEX(Auxiliar!$D$5:$F$13,MATCH(Table1[[#This Row],[Tipologia_Testes]],Auxiliar!$B$5:$B$13,0),MATCH(Table1[[#This Row],[Complexidade]],Auxiliar!$D$4:$F$4,0))</f>
        <v>2</v>
      </c>
      <c r="P39" s="2" t="s">
        <v>1266</v>
      </c>
      <c r="Q39" s="2" t="s">
        <v>1263</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1247</v>
      </c>
      <c r="L40" s="29" t="s">
        <v>1252</v>
      </c>
      <c r="M40" s="21" t="s">
        <v>1253</v>
      </c>
      <c r="N40" s="48">
        <v>45485</v>
      </c>
      <c r="O40" s="21">
        <f>INDEX(Auxiliar!$D$5:$F$13,MATCH(Table1[[#This Row],[Tipologia_Testes]],Auxiliar!$B$5:$B$13,0),MATCH(Table1[[#This Row],[Complexidade]],Auxiliar!$D$4:$F$4,0))</f>
        <v>2</v>
      </c>
      <c r="P40" s="2" t="s">
        <v>1266</v>
      </c>
      <c r="Q40" s="2" t="s">
        <v>1263</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1249</v>
      </c>
      <c r="L41" s="29" t="s">
        <v>1252</v>
      </c>
      <c r="M41" s="21" t="s">
        <v>1253</v>
      </c>
      <c r="N41" s="48">
        <v>45485</v>
      </c>
      <c r="O41" s="21">
        <f>INDEX(Auxiliar!$D$5:$F$13,MATCH(Table1[[#This Row],[Tipologia_Testes]],Auxiliar!$B$5:$B$13,0),MATCH(Table1[[#This Row],[Complexidade]],Auxiliar!$D$4:$F$4,0))</f>
        <v>0.1</v>
      </c>
      <c r="P41" s="2" t="s">
        <v>1266</v>
      </c>
      <c r="Q41" s="2" t="s">
        <v>1263</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1246</v>
      </c>
      <c r="L42" s="29" t="s">
        <v>1252</v>
      </c>
      <c r="M42" s="21" t="s">
        <v>1253</v>
      </c>
      <c r="N42" s="48">
        <v>45485</v>
      </c>
      <c r="O42" s="21">
        <f>INDEX(Auxiliar!$D$5:$F$13,MATCH(Table1[[#This Row],[Tipologia_Testes]],Auxiliar!$B$5:$B$13,0),MATCH(Table1[[#This Row],[Complexidade]],Auxiliar!$D$4:$F$4,0))</f>
        <v>2</v>
      </c>
      <c r="P42" s="2" t="s">
        <v>1266</v>
      </c>
      <c r="Q42" s="2" t="s">
        <v>1263</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1247</v>
      </c>
      <c r="L43" s="29" t="s">
        <v>1252</v>
      </c>
      <c r="M43" s="21" t="s">
        <v>1253</v>
      </c>
      <c r="N43" s="48">
        <v>45485</v>
      </c>
      <c r="O43" s="21">
        <f>INDEX(Auxiliar!$D$5:$F$13,MATCH(Table1[[#This Row],[Tipologia_Testes]],Auxiliar!$B$5:$B$13,0),MATCH(Table1[[#This Row],[Complexidade]],Auxiliar!$D$4:$F$4,0))</f>
        <v>2</v>
      </c>
      <c r="P43" s="2" t="s">
        <v>1266</v>
      </c>
      <c r="Q43" s="2" t="s">
        <v>1263</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1249</v>
      </c>
      <c r="L44" s="29" t="s">
        <v>1252</v>
      </c>
      <c r="M44" s="21" t="s">
        <v>1253</v>
      </c>
      <c r="N44" s="48">
        <v>45485</v>
      </c>
      <c r="O44" s="21">
        <f>INDEX(Auxiliar!$D$5:$F$13,MATCH(Table1[[#This Row],[Tipologia_Testes]],Auxiliar!$B$5:$B$13,0),MATCH(Table1[[#This Row],[Complexidade]],Auxiliar!$D$4:$F$4,0))</f>
        <v>0.1</v>
      </c>
      <c r="P44" s="2" t="s">
        <v>1266</v>
      </c>
      <c r="Q44" s="2" t="s">
        <v>1263</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1246</v>
      </c>
      <c r="L45" s="29" t="s">
        <v>1252</v>
      </c>
      <c r="M45" s="21" t="s">
        <v>1253</v>
      </c>
      <c r="N45" s="48">
        <v>45485</v>
      </c>
      <c r="O45" s="21">
        <f>INDEX(Auxiliar!$D$5:$F$13,MATCH(Table1[[#This Row],[Tipologia_Testes]],Auxiliar!$B$5:$B$13,0),MATCH(Table1[[#This Row],[Complexidade]],Auxiliar!$D$4:$F$4,0))</f>
        <v>2</v>
      </c>
      <c r="P45" s="2" t="s">
        <v>1266</v>
      </c>
      <c r="Q45" s="2" t="s">
        <v>1263</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1247</v>
      </c>
      <c r="L46" s="29" t="s">
        <v>1252</v>
      </c>
      <c r="M46" s="21" t="s">
        <v>1253</v>
      </c>
      <c r="N46" s="48">
        <v>45485</v>
      </c>
      <c r="O46" s="21">
        <f>INDEX(Auxiliar!$D$5:$F$13,MATCH(Table1[[#This Row],[Tipologia_Testes]],Auxiliar!$B$5:$B$13,0),MATCH(Table1[[#This Row],[Complexidade]],Auxiliar!$D$4:$F$4,0))</f>
        <v>2</v>
      </c>
      <c r="P46" s="2" t="s">
        <v>1266</v>
      </c>
      <c r="Q46" s="2" t="s">
        <v>1263</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1249</v>
      </c>
      <c r="L47" s="29" t="s">
        <v>1252</v>
      </c>
      <c r="M47" s="21" t="s">
        <v>1253</v>
      </c>
      <c r="N47" s="48">
        <v>45485</v>
      </c>
      <c r="O47" s="21">
        <f>INDEX(Auxiliar!$D$5:$F$13,MATCH(Table1[[#This Row],[Tipologia_Testes]],Auxiliar!$B$5:$B$13,0),MATCH(Table1[[#This Row],[Complexidade]],Auxiliar!$D$4:$F$4,0))</f>
        <v>0.1</v>
      </c>
      <c r="P47" s="2" t="s">
        <v>1266</v>
      </c>
      <c r="Q47" s="2" t="s">
        <v>1263</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1246</v>
      </c>
      <c r="L48" s="29" t="s">
        <v>1252</v>
      </c>
      <c r="M48" s="21" t="s">
        <v>1253</v>
      </c>
      <c r="N48" s="48">
        <v>45485</v>
      </c>
      <c r="O48" s="21">
        <f>INDEX(Auxiliar!$D$5:$F$13,MATCH(Table1[[#This Row],[Tipologia_Testes]],Auxiliar!$B$5:$B$13,0),MATCH(Table1[[#This Row],[Complexidade]],Auxiliar!$D$4:$F$4,0))</f>
        <v>2</v>
      </c>
      <c r="P48" s="2" t="s">
        <v>1266</v>
      </c>
      <c r="Q48" s="2" t="s">
        <v>1263</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1247</v>
      </c>
      <c r="L49" s="29" t="s">
        <v>1252</v>
      </c>
      <c r="M49" s="21" t="s">
        <v>1253</v>
      </c>
      <c r="N49" s="48">
        <v>45485</v>
      </c>
      <c r="O49" s="21">
        <f>INDEX(Auxiliar!$D$5:$F$13,MATCH(Table1[[#This Row],[Tipologia_Testes]],Auxiliar!$B$5:$B$13,0),MATCH(Table1[[#This Row],[Complexidade]],Auxiliar!$D$4:$F$4,0))</f>
        <v>2</v>
      </c>
      <c r="P49" s="2" t="s">
        <v>1266</v>
      </c>
      <c r="Q49" s="2" t="s">
        <v>1263</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1249</v>
      </c>
      <c r="L50" s="29" t="s">
        <v>1252</v>
      </c>
      <c r="M50" s="21" t="s">
        <v>1253</v>
      </c>
      <c r="N50" s="48">
        <v>45485</v>
      </c>
      <c r="O50" s="21">
        <f>INDEX(Auxiliar!$D$5:$F$13,MATCH(Table1[[#This Row],[Tipologia_Testes]],Auxiliar!$B$5:$B$13,0),MATCH(Table1[[#This Row],[Complexidade]],Auxiliar!$D$4:$F$4,0))</f>
        <v>0.1</v>
      </c>
      <c r="P50" s="2" t="s">
        <v>1266</v>
      </c>
      <c r="Q50" s="2" t="s">
        <v>1263</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1246</v>
      </c>
      <c r="L51" s="29" t="s">
        <v>1252</v>
      </c>
      <c r="M51" s="21" t="s">
        <v>1253</v>
      </c>
      <c r="N51" s="48">
        <v>45505</v>
      </c>
      <c r="O51" s="21">
        <f>INDEX(Auxiliar!$D$5:$F$13,MATCH(Table1[[#This Row],[Tipologia_Testes]],Auxiliar!$B$5:$B$13,0),MATCH(Table1[[#This Row],[Complexidade]],Auxiliar!$D$4:$F$4,0))</f>
        <v>2</v>
      </c>
      <c r="P51" s="2"/>
      <c r="Q51" s="2" t="s">
        <v>1263</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1247</v>
      </c>
      <c r="L52" s="29" t="s">
        <v>1252</v>
      </c>
      <c r="M52" s="21" t="s">
        <v>1253</v>
      </c>
      <c r="N52" s="48">
        <v>45505</v>
      </c>
      <c r="O52" s="21">
        <f>INDEX(Auxiliar!$D$5:$F$13,MATCH(Table1[[#This Row],[Tipologia_Testes]],Auxiliar!$B$5:$B$13,0),MATCH(Table1[[#This Row],[Complexidade]],Auxiliar!$D$4:$F$4,0))</f>
        <v>2</v>
      </c>
      <c r="P52" s="2"/>
      <c r="Q52" s="2" t="s">
        <v>1263</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1249</v>
      </c>
      <c r="L53" s="29" t="s">
        <v>1252</v>
      </c>
      <c r="M53" s="21" t="s">
        <v>1253</v>
      </c>
      <c r="N53" s="48">
        <v>45505</v>
      </c>
      <c r="O53" s="21">
        <f>INDEX(Auxiliar!$D$5:$F$13,MATCH(Table1[[#This Row],[Tipologia_Testes]],Auxiliar!$B$5:$B$13,0),MATCH(Table1[[#This Row],[Complexidade]],Auxiliar!$D$4:$F$4,0))</f>
        <v>0.1</v>
      </c>
      <c r="P53" s="2"/>
      <c r="Q53" s="2" t="s">
        <v>1263</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1246</v>
      </c>
      <c r="L54" s="29" t="s">
        <v>1252</v>
      </c>
      <c r="M54" s="21" t="s">
        <v>1253</v>
      </c>
      <c r="N54" s="48">
        <v>45485</v>
      </c>
      <c r="O54" s="21">
        <f>INDEX(Auxiliar!$D$5:$F$13,MATCH(Table1[[#This Row],[Tipologia_Testes]],Auxiliar!$B$5:$B$13,0),MATCH(Table1[[#This Row],[Complexidade]],Auxiliar!$D$4:$F$4,0))</f>
        <v>2</v>
      </c>
      <c r="P54" s="2"/>
      <c r="Q54" s="2" t="s">
        <v>1263</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1247</v>
      </c>
      <c r="L55" s="29" t="s">
        <v>1252</v>
      </c>
      <c r="M55" s="21" t="s">
        <v>1253</v>
      </c>
      <c r="N55" s="48">
        <v>45485</v>
      </c>
      <c r="O55" s="21">
        <f>INDEX(Auxiliar!$D$5:$F$13,MATCH(Table1[[#This Row],[Tipologia_Testes]],Auxiliar!$B$5:$B$13,0),MATCH(Table1[[#This Row],[Complexidade]],Auxiliar!$D$4:$F$4,0))</f>
        <v>2</v>
      </c>
      <c r="P55" s="2"/>
      <c r="Q55" s="2" t="s">
        <v>1263</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1249</v>
      </c>
      <c r="L56" s="29" t="s">
        <v>1252</v>
      </c>
      <c r="M56" s="21" t="s">
        <v>1253</v>
      </c>
      <c r="N56" s="48">
        <v>45485</v>
      </c>
      <c r="O56" s="21">
        <f>INDEX(Auxiliar!$D$5:$F$13,MATCH(Table1[[#This Row],[Tipologia_Testes]],Auxiliar!$B$5:$B$13,0),MATCH(Table1[[#This Row],[Complexidade]],Auxiliar!$D$4:$F$4,0))</f>
        <v>0.1</v>
      </c>
      <c r="P56" s="2"/>
      <c r="Q56" s="2" t="s">
        <v>1263</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1246</v>
      </c>
      <c r="L57" s="29" t="s">
        <v>1264</v>
      </c>
      <c r="M57" s="21" t="s">
        <v>1254</v>
      </c>
      <c r="N57" s="48">
        <v>45485</v>
      </c>
      <c r="O57" s="21">
        <f>INDEX(Auxiliar!$D$5:$F$13,MATCH(Table1[[#This Row],[Tipologia_Testes]],Auxiliar!$B$5:$B$13,0),MATCH(Table1[[#This Row],[Complexidade]],Auxiliar!$D$4:$F$4,0))</f>
        <v>4</v>
      </c>
      <c r="P57" s="23" t="s">
        <v>1267</v>
      </c>
      <c r="Q57" s="2" t="s">
        <v>1263</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1246</v>
      </c>
      <c r="L58" s="29" t="s">
        <v>1252</v>
      </c>
      <c r="M58" s="21" t="s">
        <v>1253</v>
      </c>
      <c r="N58" s="48">
        <v>45505</v>
      </c>
      <c r="O58" s="21">
        <f>INDEX(Auxiliar!$D$5:$F$13,MATCH(Table1[[#This Row],[Tipologia_Testes]],Auxiliar!$B$5:$B$13,0),MATCH(Table1[[#This Row],[Complexidade]],Auxiliar!$D$4:$F$4,0))</f>
        <v>2</v>
      </c>
      <c r="P58" s="2"/>
      <c r="Q58" s="2" t="s">
        <v>1263</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1247</v>
      </c>
      <c r="L59" s="29" t="s">
        <v>1252</v>
      </c>
      <c r="M59" s="21" t="s">
        <v>1253</v>
      </c>
      <c r="N59" s="48">
        <v>45505</v>
      </c>
      <c r="O59" s="21">
        <f>INDEX(Auxiliar!$D$5:$F$13,MATCH(Table1[[#This Row],[Tipologia_Testes]],Auxiliar!$B$5:$B$13,0),MATCH(Table1[[#This Row],[Complexidade]],Auxiliar!$D$4:$F$4,0))</f>
        <v>2</v>
      </c>
      <c r="P59" s="2"/>
      <c r="Q59" s="2" t="s">
        <v>1263</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1249</v>
      </c>
      <c r="L60" s="29" t="s">
        <v>1252</v>
      </c>
      <c r="M60" s="21" t="s">
        <v>1253</v>
      </c>
      <c r="N60" s="48">
        <v>45505</v>
      </c>
      <c r="O60" s="21">
        <f>INDEX(Auxiliar!$D$5:$F$13,MATCH(Table1[[#This Row],[Tipologia_Testes]],Auxiliar!$B$5:$B$13,0),MATCH(Table1[[#This Row],[Complexidade]],Auxiliar!$D$4:$F$4,0))</f>
        <v>0.1</v>
      </c>
      <c r="P60" s="2"/>
      <c r="Q60" s="2" t="s">
        <v>1263</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1246</v>
      </c>
      <c r="L61" s="29" t="s">
        <v>1252</v>
      </c>
      <c r="M61" s="21" t="s">
        <v>1253</v>
      </c>
      <c r="N61" s="48">
        <v>45505</v>
      </c>
      <c r="O61" s="21">
        <f>INDEX(Auxiliar!$D$5:$F$13,MATCH(Table1[[#This Row],[Tipologia_Testes]],Auxiliar!$B$5:$B$13,0),MATCH(Table1[[#This Row],[Complexidade]],Auxiliar!$D$4:$F$4,0))</f>
        <v>2</v>
      </c>
      <c r="P61" s="2"/>
      <c r="Q61" s="2" t="s">
        <v>1263</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1247</v>
      </c>
      <c r="L62" s="29" t="s">
        <v>1252</v>
      </c>
      <c r="M62" s="21" t="s">
        <v>1253</v>
      </c>
      <c r="N62" s="48">
        <v>45505</v>
      </c>
      <c r="O62" s="21">
        <f>INDEX(Auxiliar!$D$5:$F$13,MATCH(Table1[[#This Row],[Tipologia_Testes]],Auxiliar!$B$5:$B$13,0),MATCH(Table1[[#This Row],[Complexidade]],Auxiliar!$D$4:$F$4,0))</f>
        <v>2</v>
      </c>
      <c r="P62" s="2"/>
      <c r="Q62" s="2" t="s">
        <v>1263</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1249</v>
      </c>
      <c r="L63" s="29" t="s">
        <v>1252</v>
      </c>
      <c r="M63" s="21" t="s">
        <v>1253</v>
      </c>
      <c r="N63" s="48">
        <v>45505</v>
      </c>
      <c r="O63" s="21">
        <f>INDEX(Auxiliar!$D$5:$F$13,MATCH(Table1[[#This Row],[Tipologia_Testes]],Auxiliar!$B$5:$B$13,0),MATCH(Table1[[#This Row],[Complexidade]],Auxiliar!$D$4:$F$4,0))</f>
        <v>0.1</v>
      </c>
      <c r="P63" s="2"/>
      <c r="Q63" s="2" t="s">
        <v>1263</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1246</v>
      </c>
      <c r="L64" s="29" t="s">
        <v>1252</v>
      </c>
      <c r="M64" s="21" t="s">
        <v>1253</v>
      </c>
      <c r="N64" s="48">
        <v>45490</v>
      </c>
      <c r="O64" s="21">
        <f>INDEX(Auxiliar!$D$5:$F$13,MATCH(Table1[[#This Row],[Tipologia_Testes]],Auxiliar!$B$5:$B$13,0),MATCH(Table1[[#This Row],[Complexidade]],Auxiliar!$D$4:$F$4,0))</f>
        <v>2</v>
      </c>
      <c r="P64" s="2"/>
      <c r="Q64" s="2" t="s">
        <v>1263</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1247</v>
      </c>
      <c r="L65" s="29" t="s">
        <v>1252</v>
      </c>
      <c r="M65" s="21" t="s">
        <v>1253</v>
      </c>
      <c r="N65" s="48">
        <v>45490</v>
      </c>
      <c r="O65" s="21">
        <f>INDEX(Auxiliar!$D$5:$F$13,MATCH(Table1[[#This Row],[Tipologia_Testes]],Auxiliar!$B$5:$B$13,0),MATCH(Table1[[#This Row],[Complexidade]],Auxiliar!$D$4:$F$4,0))</f>
        <v>2</v>
      </c>
      <c r="P65" s="2"/>
      <c r="Q65" s="2" t="s">
        <v>1263</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1249</v>
      </c>
      <c r="L66" s="29" t="s">
        <v>1252</v>
      </c>
      <c r="M66" s="21" t="s">
        <v>1253</v>
      </c>
      <c r="N66" s="48">
        <v>45490</v>
      </c>
      <c r="O66" s="21">
        <f>INDEX(Auxiliar!$D$5:$F$13,MATCH(Table1[[#This Row],[Tipologia_Testes]],Auxiliar!$B$5:$B$13,0),MATCH(Table1[[#This Row],[Complexidade]],Auxiliar!$D$4:$F$4,0))</f>
        <v>0.1</v>
      </c>
      <c r="P66" s="2"/>
      <c r="Q66" s="2" t="s">
        <v>1263</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1246</v>
      </c>
      <c r="L67" s="29" t="s">
        <v>1252</v>
      </c>
      <c r="M67" s="21" t="s">
        <v>1253</v>
      </c>
      <c r="N67" s="48">
        <v>45485</v>
      </c>
      <c r="O67" s="21">
        <f>INDEX(Auxiliar!$D$5:$F$13,MATCH(Table1[[#This Row],[Tipologia_Testes]],Auxiliar!$B$5:$B$13,0),MATCH(Table1[[#This Row],[Complexidade]],Auxiliar!$D$4:$F$4,0))</f>
        <v>2</v>
      </c>
      <c r="P67" s="2"/>
      <c r="Q67" s="2" t="s">
        <v>1263</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1247</v>
      </c>
      <c r="L68" s="29" t="s">
        <v>1252</v>
      </c>
      <c r="M68" s="21" t="s">
        <v>1253</v>
      </c>
      <c r="N68" s="48">
        <v>45485</v>
      </c>
      <c r="O68" s="21">
        <f>INDEX(Auxiliar!$D$5:$F$13,MATCH(Table1[[#This Row],[Tipologia_Testes]],Auxiliar!$B$5:$B$13,0),MATCH(Table1[[#This Row],[Complexidade]],Auxiliar!$D$4:$F$4,0))</f>
        <v>2</v>
      </c>
      <c r="P68" s="2"/>
      <c r="Q68" s="2" t="s">
        <v>1263</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1249</v>
      </c>
      <c r="L69" s="29" t="s">
        <v>1252</v>
      </c>
      <c r="M69" s="21" t="s">
        <v>1253</v>
      </c>
      <c r="N69" s="48">
        <v>45485</v>
      </c>
      <c r="O69" s="21">
        <f>INDEX(Auxiliar!$D$5:$F$13,MATCH(Table1[[#This Row],[Tipologia_Testes]],Auxiliar!$B$5:$B$13,0),MATCH(Table1[[#This Row],[Complexidade]],Auxiliar!$D$4:$F$4,0))</f>
        <v>0.1</v>
      </c>
      <c r="P69" s="2"/>
      <c r="Q69" s="2" t="s">
        <v>1263</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1246</v>
      </c>
      <c r="L70" s="29" t="s">
        <v>1252</v>
      </c>
      <c r="M70" s="21" t="s">
        <v>1253</v>
      </c>
      <c r="N70" s="48">
        <v>45485</v>
      </c>
      <c r="O70" s="21">
        <f>INDEX(Auxiliar!$D$5:$F$13,MATCH(Table1[[#This Row],[Tipologia_Testes]],Auxiliar!$B$5:$B$13,0),MATCH(Table1[[#This Row],[Complexidade]],Auxiliar!$D$4:$F$4,0))</f>
        <v>2</v>
      </c>
      <c r="P70" s="2"/>
      <c r="Q70" s="2" t="s">
        <v>1263</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1247</v>
      </c>
      <c r="L71" s="29" t="s">
        <v>1252</v>
      </c>
      <c r="M71" s="21" t="s">
        <v>1253</v>
      </c>
      <c r="N71" s="48">
        <v>45485</v>
      </c>
      <c r="O71" s="21">
        <f>INDEX(Auxiliar!$D$5:$F$13,MATCH(Table1[[#This Row],[Tipologia_Testes]],Auxiliar!$B$5:$B$13,0),MATCH(Table1[[#This Row],[Complexidade]],Auxiliar!$D$4:$F$4,0))</f>
        <v>2</v>
      </c>
      <c r="P71" s="2"/>
      <c r="Q71" s="2" t="s">
        <v>1263</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1249</v>
      </c>
      <c r="L72" s="29" t="s">
        <v>1252</v>
      </c>
      <c r="M72" s="21" t="s">
        <v>1253</v>
      </c>
      <c r="N72" s="48">
        <v>45485</v>
      </c>
      <c r="O72" s="21">
        <f>INDEX(Auxiliar!$D$5:$F$13,MATCH(Table1[[#This Row],[Tipologia_Testes]],Auxiliar!$B$5:$B$13,0),MATCH(Table1[[#This Row],[Complexidade]],Auxiliar!$D$4:$F$4,0))</f>
        <v>0.1</v>
      </c>
      <c r="P72" s="2"/>
      <c r="Q72" s="2" t="s">
        <v>1263</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1246</v>
      </c>
      <c r="L73" s="29" t="s">
        <v>1252</v>
      </c>
      <c r="M73" s="21" t="s">
        <v>1253</v>
      </c>
      <c r="N73" s="48">
        <v>45505</v>
      </c>
      <c r="O73" s="21">
        <f>INDEX(Auxiliar!$D$5:$F$13,MATCH(Table1[[#This Row],[Tipologia_Testes]],Auxiliar!$B$5:$B$13,0),MATCH(Table1[[#This Row],[Complexidade]],Auxiliar!$D$4:$F$4,0))</f>
        <v>2</v>
      </c>
      <c r="P73" s="2"/>
      <c r="Q73" s="2" t="s">
        <v>1263</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1247</v>
      </c>
      <c r="L74" s="29" t="s">
        <v>1252</v>
      </c>
      <c r="M74" s="21" t="s">
        <v>1253</v>
      </c>
      <c r="N74" s="48">
        <v>45505</v>
      </c>
      <c r="O74" s="21">
        <f>INDEX(Auxiliar!$D$5:$F$13,MATCH(Table1[[#This Row],[Tipologia_Testes]],Auxiliar!$B$5:$B$13,0),MATCH(Table1[[#This Row],[Complexidade]],Auxiliar!$D$4:$F$4,0))</f>
        <v>2</v>
      </c>
      <c r="P74" s="2"/>
      <c r="Q74" s="2" t="s">
        <v>1263</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1249</v>
      </c>
      <c r="L75" s="29" t="s">
        <v>1252</v>
      </c>
      <c r="M75" s="21" t="s">
        <v>1253</v>
      </c>
      <c r="N75" s="48">
        <v>45505</v>
      </c>
      <c r="O75" s="21">
        <f>INDEX(Auxiliar!$D$5:$F$13,MATCH(Table1[[#This Row],[Tipologia_Testes]],Auxiliar!$B$5:$B$13,0),MATCH(Table1[[#This Row],[Complexidade]],Auxiliar!$D$4:$F$4,0))</f>
        <v>0.1</v>
      </c>
      <c r="P75" s="2"/>
      <c r="Q75" s="2" t="s">
        <v>1263</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1246</v>
      </c>
      <c r="L76" s="29" t="s">
        <v>1252</v>
      </c>
      <c r="M76" s="21" t="s">
        <v>1253</v>
      </c>
      <c r="N76" s="48">
        <v>45505</v>
      </c>
      <c r="O76" s="21">
        <f>INDEX(Auxiliar!$D$5:$F$13,MATCH(Table1[[#This Row],[Tipologia_Testes]],Auxiliar!$B$5:$B$13,0),MATCH(Table1[[#This Row],[Complexidade]],Auxiliar!$D$4:$F$4,0))</f>
        <v>2</v>
      </c>
      <c r="P76" s="2"/>
      <c r="Q76" s="2" t="s">
        <v>1263</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1247</v>
      </c>
      <c r="L77" s="29" t="s">
        <v>1252</v>
      </c>
      <c r="M77" s="21" t="s">
        <v>1253</v>
      </c>
      <c r="N77" s="48">
        <v>45505</v>
      </c>
      <c r="O77" s="21">
        <f>INDEX(Auxiliar!$D$5:$F$13,MATCH(Table1[[#This Row],[Tipologia_Testes]],Auxiliar!$B$5:$B$13,0),MATCH(Table1[[#This Row],[Complexidade]],Auxiliar!$D$4:$F$4,0))</f>
        <v>2</v>
      </c>
      <c r="P77" s="2"/>
      <c r="Q77" s="2" t="s">
        <v>1263</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1249</v>
      </c>
      <c r="L78" s="29" t="s">
        <v>1252</v>
      </c>
      <c r="M78" s="21" t="s">
        <v>1253</v>
      </c>
      <c r="N78" s="48">
        <v>45505</v>
      </c>
      <c r="O78" s="21">
        <f>INDEX(Auxiliar!$D$5:$F$13,MATCH(Table1[[#This Row],[Tipologia_Testes]],Auxiliar!$B$5:$B$13,0),MATCH(Table1[[#This Row],[Complexidade]],Auxiliar!$D$4:$F$4,0))</f>
        <v>0.1</v>
      </c>
      <c r="P78" s="2"/>
      <c r="Q78" s="2" t="s">
        <v>1263</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1246</v>
      </c>
      <c r="L79" s="29" t="s">
        <v>1252</v>
      </c>
      <c r="M79" s="21" t="s">
        <v>1253</v>
      </c>
      <c r="N79" s="48">
        <v>45485</v>
      </c>
      <c r="O79" s="21">
        <f>INDEX(Auxiliar!$D$5:$F$13,MATCH(Table1[[#This Row],[Tipologia_Testes]],Auxiliar!$B$5:$B$13,0),MATCH(Table1[[#This Row],[Complexidade]],Auxiliar!$D$4:$F$4,0))</f>
        <v>2</v>
      </c>
      <c r="P79" s="2"/>
      <c r="Q79" s="2" t="s">
        <v>1263</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1247</v>
      </c>
      <c r="L80" s="29" t="s">
        <v>1252</v>
      </c>
      <c r="M80" s="21" t="s">
        <v>1253</v>
      </c>
      <c r="N80" s="48">
        <v>45485</v>
      </c>
      <c r="O80" s="21">
        <f>INDEX(Auxiliar!$D$5:$F$13,MATCH(Table1[[#This Row],[Tipologia_Testes]],Auxiliar!$B$5:$B$13,0),MATCH(Table1[[#This Row],[Complexidade]],Auxiliar!$D$4:$F$4,0))</f>
        <v>2</v>
      </c>
      <c r="P80" s="2"/>
      <c r="Q80" s="2" t="s">
        <v>1263</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1249</v>
      </c>
      <c r="L81" s="29" t="s">
        <v>1252</v>
      </c>
      <c r="M81" s="21" t="s">
        <v>1253</v>
      </c>
      <c r="N81" s="48">
        <v>45485</v>
      </c>
      <c r="O81" s="21">
        <f>INDEX(Auxiliar!$D$5:$F$13,MATCH(Table1[[#This Row],[Tipologia_Testes]],Auxiliar!$B$5:$B$13,0),MATCH(Table1[[#This Row],[Complexidade]],Auxiliar!$D$4:$F$4,0))</f>
        <v>0.1</v>
      </c>
      <c r="P81" s="2"/>
      <c r="Q81" s="2" t="s">
        <v>1263</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1246</v>
      </c>
      <c r="L82" s="29" t="s">
        <v>1252</v>
      </c>
      <c r="M82" s="21" t="s">
        <v>1253</v>
      </c>
      <c r="N82" s="48">
        <v>45490</v>
      </c>
      <c r="O82" s="21">
        <f>INDEX(Auxiliar!$D$5:$F$13,MATCH(Table1[[#This Row],[Tipologia_Testes]],Auxiliar!$B$5:$B$13,0),MATCH(Table1[[#This Row],[Complexidade]],Auxiliar!$D$4:$F$4,0))</f>
        <v>2</v>
      </c>
      <c r="P82" s="2"/>
      <c r="Q82" s="2" t="s">
        <v>1263</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1247</v>
      </c>
      <c r="L83" s="29" t="s">
        <v>1252</v>
      </c>
      <c r="M83" s="21" t="s">
        <v>1253</v>
      </c>
      <c r="N83" s="48">
        <v>45490</v>
      </c>
      <c r="O83" s="21">
        <f>INDEX(Auxiliar!$D$5:$F$13,MATCH(Table1[[#This Row],[Tipologia_Testes]],Auxiliar!$B$5:$B$13,0),MATCH(Table1[[#This Row],[Complexidade]],Auxiliar!$D$4:$F$4,0))</f>
        <v>2</v>
      </c>
      <c r="P83" s="2"/>
      <c r="Q83" s="2" t="s">
        <v>1263</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1249</v>
      </c>
      <c r="L84" s="29" t="s">
        <v>1252</v>
      </c>
      <c r="M84" s="21" t="s">
        <v>1253</v>
      </c>
      <c r="N84" s="48">
        <v>45490</v>
      </c>
      <c r="O84" s="21">
        <f>INDEX(Auxiliar!$D$5:$F$13,MATCH(Table1[[#This Row],[Tipologia_Testes]],Auxiliar!$B$5:$B$13,0),MATCH(Table1[[#This Row],[Complexidade]],Auxiliar!$D$4:$F$4,0))</f>
        <v>0.1</v>
      </c>
      <c r="P84" s="2"/>
      <c r="Q84" s="2" t="s">
        <v>1263</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1246</v>
      </c>
      <c r="L85" s="29" t="s">
        <v>1252</v>
      </c>
      <c r="M85" s="21" t="s">
        <v>1253</v>
      </c>
      <c r="N85" s="48">
        <v>45485</v>
      </c>
      <c r="O85" s="21">
        <f>INDEX(Auxiliar!$D$5:$F$13,MATCH(Table1[[#This Row],[Tipologia_Testes]],Auxiliar!$B$5:$B$13,0),MATCH(Table1[[#This Row],[Complexidade]],Auxiliar!$D$4:$F$4,0))</f>
        <v>2</v>
      </c>
      <c r="P85" s="2"/>
      <c r="Q85" s="2" t="s">
        <v>1263</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1247</v>
      </c>
      <c r="L86" s="29" t="s">
        <v>1252</v>
      </c>
      <c r="M86" s="21" t="s">
        <v>1253</v>
      </c>
      <c r="N86" s="48">
        <v>45485</v>
      </c>
      <c r="O86" s="21">
        <f>INDEX(Auxiliar!$D$5:$F$13,MATCH(Table1[[#This Row],[Tipologia_Testes]],Auxiliar!$B$5:$B$13,0),MATCH(Table1[[#This Row],[Complexidade]],Auxiliar!$D$4:$F$4,0))</f>
        <v>2</v>
      </c>
      <c r="P86" s="2"/>
      <c r="Q86" s="2" t="s">
        <v>1263</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1249</v>
      </c>
      <c r="L87" s="29" t="s">
        <v>1252</v>
      </c>
      <c r="M87" s="21" t="s">
        <v>1253</v>
      </c>
      <c r="N87" s="48">
        <v>45485</v>
      </c>
      <c r="O87" s="21">
        <f>INDEX(Auxiliar!$D$5:$F$13,MATCH(Table1[[#This Row],[Tipologia_Testes]],Auxiliar!$B$5:$B$13,0),MATCH(Table1[[#This Row],[Complexidade]],Auxiliar!$D$4:$F$4,0))</f>
        <v>0.1</v>
      </c>
      <c r="P87" s="2"/>
      <c r="Q87" s="2" t="s">
        <v>1263</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1246</v>
      </c>
      <c r="L88" s="29" t="s">
        <v>1252</v>
      </c>
      <c r="M88" s="21" t="s">
        <v>1253</v>
      </c>
      <c r="N88" s="48">
        <v>45490</v>
      </c>
      <c r="O88" s="21">
        <f>INDEX(Auxiliar!$D$5:$F$13,MATCH(Table1[[#This Row],[Tipologia_Testes]],Auxiliar!$B$5:$B$13,0),MATCH(Table1[[#This Row],[Complexidade]],Auxiliar!$D$4:$F$4,0))</f>
        <v>2</v>
      </c>
      <c r="P88" s="2"/>
      <c r="Q88" s="2" t="s">
        <v>1263</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1247</v>
      </c>
      <c r="L89" s="29" t="s">
        <v>1252</v>
      </c>
      <c r="M89" s="21" t="s">
        <v>1253</v>
      </c>
      <c r="N89" s="48">
        <v>45490</v>
      </c>
      <c r="O89" s="21">
        <f>INDEX(Auxiliar!$D$5:$F$13,MATCH(Table1[[#This Row],[Tipologia_Testes]],Auxiliar!$B$5:$B$13,0),MATCH(Table1[[#This Row],[Complexidade]],Auxiliar!$D$4:$F$4,0))</f>
        <v>2</v>
      </c>
      <c r="P89" s="2"/>
      <c r="Q89" s="2" t="s">
        <v>1263</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1249</v>
      </c>
      <c r="L90" s="29" t="s">
        <v>1252</v>
      </c>
      <c r="M90" s="21" t="s">
        <v>1253</v>
      </c>
      <c r="N90" s="48">
        <v>45490</v>
      </c>
      <c r="O90" s="21">
        <f>INDEX(Auxiliar!$D$5:$F$13,MATCH(Table1[[#This Row],[Tipologia_Testes]],Auxiliar!$B$5:$B$13,0),MATCH(Table1[[#This Row],[Complexidade]],Auxiliar!$D$4:$F$4,0))</f>
        <v>0.1</v>
      </c>
      <c r="P90" s="2"/>
      <c r="Q90" s="2" t="s">
        <v>1263</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1246</v>
      </c>
      <c r="L91" s="29" t="s">
        <v>1252</v>
      </c>
      <c r="M91" s="21" t="s">
        <v>1253</v>
      </c>
      <c r="N91" s="48">
        <v>45490</v>
      </c>
      <c r="O91" s="21">
        <f>INDEX(Auxiliar!$D$5:$F$13,MATCH(Table1[[#This Row],[Tipologia_Testes]],Auxiliar!$B$5:$B$13,0),MATCH(Table1[[#This Row],[Complexidade]],Auxiliar!$D$4:$F$4,0))</f>
        <v>2</v>
      </c>
      <c r="P91" s="2"/>
      <c r="Q91" s="2" t="s">
        <v>1263</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1247</v>
      </c>
      <c r="L92" s="29" t="s">
        <v>1252</v>
      </c>
      <c r="M92" s="21" t="s">
        <v>1253</v>
      </c>
      <c r="N92" s="48">
        <v>45490</v>
      </c>
      <c r="O92" s="21">
        <f>INDEX(Auxiliar!$D$5:$F$13,MATCH(Table1[[#This Row],[Tipologia_Testes]],Auxiliar!$B$5:$B$13,0),MATCH(Table1[[#This Row],[Complexidade]],Auxiliar!$D$4:$F$4,0))</f>
        <v>2</v>
      </c>
      <c r="P92" s="2"/>
      <c r="Q92" s="2" t="s">
        <v>1263</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1249</v>
      </c>
      <c r="L93" s="29" t="s">
        <v>1252</v>
      </c>
      <c r="M93" s="21" t="s">
        <v>1253</v>
      </c>
      <c r="N93" s="48">
        <v>45490</v>
      </c>
      <c r="O93" s="21">
        <f>INDEX(Auxiliar!$D$5:$F$13,MATCH(Table1[[#This Row],[Tipologia_Testes]],Auxiliar!$B$5:$B$13,0),MATCH(Table1[[#This Row],[Complexidade]],Auxiliar!$D$4:$F$4,0))</f>
        <v>0.1</v>
      </c>
      <c r="P93" s="2"/>
      <c r="Q93" s="2" t="s">
        <v>1263</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1246</v>
      </c>
      <c r="L94" s="29" t="s">
        <v>1252</v>
      </c>
      <c r="M94" s="21" t="s">
        <v>1253</v>
      </c>
      <c r="N94" s="48">
        <v>45490</v>
      </c>
      <c r="O94" s="21">
        <f>INDEX(Auxiliar!$D$5:$F$13,MATCH(Table1[[#This Row],[Tipologia_Testes]],Auxiliar!$B$5:$B$13,0),MATCH(Table1[[#This Row],[Complexidade]],Auxiliar!$D$4:$F$4,0))</f>
        <v>2</v>
      </c>
      <c r="P94" s="2"/>
      <c r="Q94" s="2" t="s">
        <v>1263</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1247</v>
      </c>
      <c r="L95" s="29" t="s">
        <v>1252</v>
      </c>
      <c r="M95" s="21" t="s">
        <v>1253</v>
      </c>
      <c r="N95" s="48">
        <v>45490</v>
      </c>
      <c r="O95" s="21">
        <f>INDEX(Auxiliar!$D$5:$F$13,MATCH(Table1[[#This Row],[Tipologia_Testes]],Auxiliar!$B$5:$B$13,0),MATCH(Table1[[#This Row],[Complexidade]],Auxiliar!$D$4:$F$4,0))</f>
        <v>2</v>
      </c>
      <c r="P95" s="2"/>
      <c r="Q95" s="2" t="s">
        <v>1263</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1249</v>
      </c>
      <c r="L96" s="29" t="s">
        <v>1252</v>
      </c>
      <c r="M96" s="21" t="s">
        <v>1253</v>
      </c>
      <c r="N96" s="48">
        <v>45490</v>
      </c>
      <c r="O96" s="21">
        <f>INDEX(Auxiliar!$D$5:$F$13,MATCH(Table1[[#This Row],[Tipologia_Testes]],Auxiliar!$B$5:$B$13,0),MATCH(Table1[[#This Row],[Complexidade]],Auxiliar!$D$4:$F$4,0))</f>
        <v>0.1</v>
      </c>
      <c r="P96" s="2"/>
      <c r="Q96" s="2" t="s">
        <v>1263</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1246</v>
      </c>
      <c r="L97" s="29" t="s">
        <v>1252</v>
      </c>
      <c r="M97" s="21" t="s">
        <v>1253</v>
      </c>
      <c r="N97" s="48">
        <v>45485</v>
      </c>
      <c r="O97" s="21">
        <f>INDEX(Auxiliar!$D$5:$F$13,MATCH(Table1[[#This Row],[Tipologia_Testes]],Auxiliar!$B$5:$B$13,0),MATCH(Table1[[#This Row],[Complexidade]],Auxiliar!$D$4:$F$4,0))</f>
        <v>2</v>
      </c>
      <c r="P97" s="2"/>
      <c r="Q97" s="2" t="s">
        <v>1263</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1247</v>
      </c>
      <c r="L98" s="29" t="s">
        <v>1252</v>
      </c>
      <c r="M98" s="21" t="s">
        <v>1253</v>
      </c>
      <c r="N98" s="48">
        <v>45485</v>
      </c>
      <c r="O98" s="21">
        <f>INDEX(Auxiliar!$D$5:$F$13,MATCH(Table1[[#This Row],[Tipologia_Testes]],Auxiliar!$B$5:$B$13,0),MATCH(Table1[[#This Row],[Complexidade]],Auxiliar!$D$4:$F$4,0))</f>
        <v>2</v>
      </c>
      <c r="P98" s="2"/>
      <c r="Q98" s="2" t="s">
        <v>1263</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1249</v>
      </c>
      <c r="L99" s="29" t="s">
        <v>1252</v>
      </c>
      <c r="M99" s="21" t="s">
        <v>1253</v>
      </c>
      <c r="N99" s="48">
        <v>45485</v>
      </c>
      <c r="O99" s="21">
        <f>INDEX(Auxiliar!$D$5:$F$13,MATCH(Table1[[#This Row],[Tipologia_Testes]],Auxiliar!$B$5:$B$13,0),MATCH(Table1[[#This Row],[Complexidade]],Auxiliar!$D$4:$F$4,0))</f>
        <v>0.1</v>
      </c>
      <c r="P99" s="2"/>
      <c r="Q99" s="2" t="s">
        <v>1263</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1246</v>
      </c>
      <c r="L100" s="29" t="s">
        <v>1252</v>
      </c>
      <c r="M100" s="21" t="s">
        <v>1253</v>
      </c>
      <c r="N100" s="48">
        <v>45485</v>
      </c>
      <c r="O100" s="21">
        <f>INDEX(Auxiliar!$D$5:$F$13,MATCH(Table1[[#This Row],[Tipologia_Testes]],Auxiliar!$B$5:$B$13,0),MATCH(Table1[[#This Row],[Complexidade]],Auxiliar!$D$4:$F$4,0))</f>
        <v>2</v>
      </c>
      <c r="P100" s="2"/>
      <c r="Q100" s="2" t="s">
        <v>1263</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1247</v>
      </c>
      <c r="L101" s="29" t="s">
        <v>1252</v>
      </c>
      <c r="M101" s="21" t="s">
        <v>1253</v>
      </c>
      <c r="N101" s="48">
        <v>45485</v>
      </c>
      <c r="O101" s="21">
        <f>INDEX(Auxiliar!$D$5:$F$13,MATCH(Table1[[#This Row],[Tipologia_Testes]],Auxiliar!$B$5:$B$13,0),MATCH(Table1[[#This Row],[Complexidade]],Auxiliar!$D$4:$F$4,0))</f>
        <v>2</v>
      </c>
      <c r="P101" s="2"/>
      <c r="Q101" s="2" t="s">
        <v>1263</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1249</v>
      </c>
      <c r="L102" s="29" t="s">
        <v>1252</v>
      </c>
      <c r="M102" s="21" t="s">
        <v>1253</v>
      </c>
      <c r="N102" s="48">
        <v>45485</v>
      </c>
      <c r="O102" s="21">
        <f>INDEX(Auxiliar!$D$5:$F$13,MATCH(Table1[[#This Row],[Tipologia_Testes]],Auxiliar!$B$5:$B$13,0),MATCH(Table1[[#This Row],[Complexidade]],Auxiliar!$D$4:$F$4,0))</f>
        <v>0.1</v>
      </c>
      <c r="P102" s="2"/>
      <c r="Q102" s="2" t="s">
        <v>1263</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1246</v>
      </c>
      <c r="L103" s="29" t="s">
        <v>1252</v>
      </c>
      <c r="M103" s="21" t="s">
        <v>1253</v>
      </c>
      <c r="N103" s="48">
        <v>45485</v>
      </c>
      <c r="O103" s="21">
        <f>INDEX(Auxiliar!$D$5:$F$13,MATCH(Table1[[#This Row],[Tipologia_Testes]],Auxiliar!$B$5:$B$13,0),MATCH(Table1[[#This Row],[Complexidade]],Auxiliar!$D$4:$F$4,0))</f>
        <v>2</v>
      </c>
      <c r="P103" s="2"/>
      <c r="Q103" s="2" t="s">
        <v>1263</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1247</v>
      </c>
      <c r="L104" s="29" t="s">
        <v>1252</v>
      </c>
      <c r="M104" s="21" t="s">
        <v>1253</v>
      </c>
      <c r="N104" s="48">
        <v>45485</v>
      </c>
      <c r="O104" s="21">
        <f>INDEX(Auxiliar!$D$5:$F$13,MATCH(Table1[[#This Row],[Tipologia_Testes]],Auxiliar!$B$5:$B$13,0),MATCH(Table1[[#This Row],[Complexidade]],Auxiliar!$D$4:$F$4,0))</f>
        <v>2</v>
      </c>
      <c r="P104" s="2"/>
      <c r="Q104" s="2" t="s">
        <v>1263</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1249</v>
      </c>
      <c r="L105" s="29" t="s">
        <v>1252</v>
      </c>
      <c r="M105" s="21" t="s">
        <v>1253</v>
      </c>
      <c r="N105" s="48">
        <v>45485</v>
      </c>
      <c r="O105" s="21">
        <f>INDEX(Auxiliar!$D$5:$F$13,MATCH(Table1[[#This Row],[Tipologia_Testes]],Auxiliar!$B$5:$B$13,0),MATCH(Table1[[#This Row],[Complexidade]],Auxiliar!$D$4:$F$4,0))</f>
        <v>0.1</v>
      </c>
      <c r="P105" s="2"/>
      <c r="Q105" s="2" t="s">
        <v>1263</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1246</v>
      </c>
      <c r="L106" s="29" t="s">
        <v>1252</v>
      </c>
      <c r="M106" s="21" t="s">
        <v>1253</v>
      </c>
      <c r="N106" s="48">
        <v>45485</v>
      </c>
      <c r="O106" s="21">
        <f>INDEX(Auxiliar!$D$5:$F$13,MATCH(Table1[[#This Row],[Tipologia_Testes]],Auxiliar!$B$5:$B$13,0),MATCH(Table1[[#This Row],[Complexidade]],Auxiliar!$D$4:$F$4,0))</f>
        <v>2</v>
      </c>
      <c r="P106" s="2"/>
      <c r="Q106" s="2" t="s">
        <v>1263</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1247</v>
      </c>
      <c r="L107" s="29" t="s">
        <v>1252</v>
      </c>
      <c r="M107" s="21" t="s">
        <v>1253</v>
      </c>
      <c r="N107" s="48">
        <v>45485</v>
      </c>
      <c r="O107" s="21">
        <f>INDEX(Auxiliar!$D$5:$F$13,MATCH(Table1[[#This Row],[Tipologia_Testes]],Auxiliar!$B$5:$B$13,0),MATCH(Table1[[#This Row],[Complexidade]],Auxiliar!$D$4:$F$4,0))</f>
        <v>2</v>
      </c>
      <c r="P107" s="2"/>
      <c r="Q107" s="2" t="s">
        <v>1263</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1249</v>
      </c>
      <c r="L108" s="29" t="s">
        <v>1252</v>
      </c>
      <c r="M108" s="21" t="s">
        <v>1253</v>
      </c>
      <c r="N108" s="48">
        <v>45485</v>
      </c>
      <c r="O108" s="21">
        <f>INDEX(Auxiliar!$D$5:$F$13,MATCH(Table1[[#This Row],[Tipologia_Testes]],Auxiliar!$B$5:$B$13,0),MATCH(Table1[[#This Row],[Complexidade]],Auxiliar!$D$4:$F$4,0))</f>
        <v>0.1</v>
      </c>
      <c r="P108" s="2"/>
      <c r="Q108" s="2" t="s">
        <v>1263</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1246</v>
      </c>
      <c r="L109" s="29" t="s">
        <v>1252</v>
      </c>
      <c r="M109" s="21" t="s">
        <v>1253</v>
      </c>
      <c r="N109" s="48">
        <v>45490</v>
      </c>
      <c r="O109" s="21">
        <f>INDEX(Auxiliar!$D$5:$F$13,MATCH(Table1[[#This Row],[Tipologia_Testes]],Auxiliar!$B$5:$B$13,0),MATCH(Table1[[#This Row],[Complexidade]],Auxiliar!$D$4:$F$4,0))</f>
        <v>2</v>
      </c>
      <c r="P109" s="2"/>
      <c r="Q109" s="2" t="s">
        <v>1263</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1247</v>
      </c>
      <c r="L110" s="29" t="s">
        <v>1252</v>
      </c>
      <c r="M110" s="21" t="s">
        <v>1253</v>
      </c>
      <c r="N110" s="48">
        <v>45490</v>
      </c>
      <c r="O110" s="21">
        <f>INDEX(Auxiliar!$D$5:$F$13,MATCH(Table1[[#This Row],[Tipologia_Testes]],Auxiliar!$B$5:$B$13,0),MATCH(Table1[[#This Row],[Complexidade]],Auxiliar!$D$4:$F$4,0))</f>
        <v>2</v>
      </c>
      <c r="P110" s="2"/>
      <c r="Q110" s="2" t="s">
        <v>1263</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1249</v>
      </c>
      <c r="L111" s="29" t="s">
        <v>1252</v>
      </c>
      <c r="M111" s="21" t="s">
        <v>1253</v>
      </c>
      <c r="N111" s="48">
        <v>45490</v>
      </c>
      <c r="O111" s="21">
        <f>INDEX(Auxiliar!$D$5:$F$13,MATCH(Table1[[#This Row],[Tipologia_Testes]],Auxiliar!$B$5:$B$13,0),MATCH(Table1[[#This Row],[Complexidade]],Auxiliar!$D$4:$F$4,0))</f>
        <v>0.1</v>
      </c>
      <c r="P111" s="2"/>
      <c r="Q111" s="2" t="s">
        <v>1263</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1246</v>
      </c>
      <c r="L112" s="29" t="s">
        <v>1252</v>
      </c>
      <c r="M112" s="21" t="s">
        <v>1253</v>
      </c>
      <c r="N112" s="48">
        <v>45512</v>
      </c>
      <c r="O112" s="21">
        <f>INDEX(Auxiliar!$D$5:$F$13,MATCH(Table1[[#This Row],[Tipologia_Testes]],Auxiliar!$B$5:$B$13,0),MATCH(Table1[[#This Row],[Complexidade]],Auxiliar!$D$4:$F$4,0))</f>
        <v>2</v>
      </c>
      <c r="P112" s="2"/>
      <c r="Q112" s="2" t="s">
        <v>1263</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1247</v>
      </c>
      <c r="L113" s="29" t="s">
        <v>1252</v>
      </c>
      <c r="M113" s="21" t="s">
        <v>1253</v>
      </c>
      <c r="N113" s="48">
        <v>45512</v>
      </c>
      <c r="O113" s="21">
        <f>INDEX(Auxiliar!$D$5:$F$13,MATCH(Table1[[#This Row],[Tipologia_Testes]],Auxiliar!$B$5:$B$13,0),MATCH(Table1[[#This Row],[Complexidade]],Auxiliar!$D$4:$F$4,0))</f>
        <v>2</v>
      </c>
      <c r="P113" s="2"/>
      <c r="Q113" s="2" t="s">
        <v>1263</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1249</v>
      </c>
      <c r="L114" s="29" t="s">
        <v>1252</v>
      </c>
      <c r="M114" s="21" t="s">
        <v>1253</v>
      </c>
      <c r="N114" s="48">
        <v>45512</v>
      </c>
      <c r="O114" s="21">
        <f>INDEX(Auxiliar!$D$5:$F$13,MATCH(Table1[[#This Row],[Tipologia_Testes]],Auxiliar!$B$5:$B$13,0),MATCH(Table1[[#This Row],[Complexidade]],Auxiliar!$D$4:$F$4,0))</f>
        <v>0.1</v>
      </c>
      <c r="P114" s="2"/>
      <c r="Q114" s="2" t="s">
        <v>1263</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1246</v>
      </c>
      <c r="L115" s="29" t="s">
        <v>1244</v>
      </c>
      <c r="M115" s="21" t="s">
        <v>1254</v>
      </c>
      <c r="N115" s="48">
        <v>45505</v>
      </c>
      <c r="O115" s="21">
        <f>INDEX(Auxiliar!$D$5:$F$13,MATCH(Table1[[#This Row],[Tipologia_Testes]],Auxiliar!$B$5:$B$13,0),MATCH(Table1[[#This Row],[Complexidade]],Auxiliar!$D$4:$F$4,0))</f>
        <v>4</v>
      </c>
      <c r="P115" s="2" t="s">
        <v>1255</v>
      </c>
      <c r="Q115" s="2" t="s">
        <v>1263</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1247</v>
      </c>
      <c r="L116" s="29" t="s">
        <v>1244</v>
      </c>
      <c r="M116" s="21" t="s">
        <v>1254</v>
      </c>
      <c r="N116" s="48">
        <v>45505</v>
      </c>
      <c r="O116" s="21">
        <f>INDEX(Auxiliar!$D$5:$F$13,MATCH(Table1[[#This Row],[Tipologia_Testes]],Auxiliar!$B$5:$B$13,0),MATCH(Table1[[#This Row],[Complexidade]],Auxiliar!$D$4:$F$4,0))</f>
        <v>4</v>
      </c>
      <c r="P116" s="2" t="s">
        <v>1255</v>
      </c>
      <c r="Q116" s="2" t="s">
        <v>1263</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1249</v>
      </c>
      <c r="L117" s="29" t="s">
        <v>1244</v>
      </c>
      <c r="M117" s="21" t="s">
        <v>1254</v>
      </c>
      <c r="N117" s="48">
        <v>45505</v>
      </c>
      <c r="O117" s="21">
        <f>INDEX(Auxiliar!$D$5:$F$13,MATCH(Table1[[#This Row],[Tipologia_Testes]],Auxiliar!$B$5:$B$13,0),MATCH(Table1[[#This Row],[Complexidade]],Auxiliar!$D$4:$F$4,0))</f>
        <v>0.1</v>
      </c>
      <c r="P117" s="2" t="s">
        <v>1255</v>
      </c>
      <c r="Q117" s="2" t="s">
        <v>1263</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1246</v>
      </c>
      <c r="L118" s="29" t="s">
        <v>1244</v>
      </c>
      <c r="M118" s="21" t="s">
        <v>1254</v>
      </c>
      <c r="N118" s="48">
        <v>45505</v>
      </c>
      <c r="O118" s="21">
        <f>INDEX(Auxiliar!$D$5:$F$13,MATCH(Table1[[#This Row],[Tipologia_Testes]],Auxiliar!$B$5:$B$13,0),MATCH(Table1[[#This Row],[Complexidade]],Auxiliar!$D$4:$F$4,0))</f>
        <v>4</v>
      </c>
      <c r="P118" s="2" t="s">
        <v>1255</v>
      </c>
      <c r="Q118" s="2" t="s">
        <v>1263</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1247</v>
      </c>
      <c r="L119" s="29" t="s">
        <v>1244</v>
      </c>
      <c r="M119" s="21" t="s">
        <v>1254</v>
      </c>
      <c r="N119" s="48">
        <v>45505</v>
      </c>
      <c r="O119" s="21">
        <f>INDEX(Auxiliar!$D$5:$F$13,MATCH(Table1[[#This Row],[Tipologia_Testes]],Auxiliar!$B$5:$B$13,0),MATCH(Table1[[#This Row],[Complexidade]],Auxiliar!$D$4:$F$4,0))</f>
        <v>4</v>
      </c>
      <c r="P119" s="2" t="s">
        <v>1255</v>
      </c>
      <c r="Q119" s="2" t="s">
        <v>1263</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1249</v>
      </c>
      <c r="L120" s="29" t="s">
        <v>1244</v>
      </c>
      <c r="M120" s="21" t="s">
        <v>1254</v>
      </c>
      <c r="N120" s="48">
        <v>45505</v>
      </c>
      <c r="O120" s="21">
        <f>INDEX(Auxiliar!$D$5:$F$13,MATCH(Table1[[#This Row],[Tipologia_Testes]],Auxiliar!$B$5:$B$13,0),MATCH(Table1[[#This Row],[Complexidade]],Auxiliar!$D$4:$F$4,0))</f>
        <v>0.1</v>
      </c>
      <c r="P120" s="2" t="s">
        <v>1255</v>
      </c>
      <c r="Q120" s="2" t="s">
        <v>1263</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1246</v>
      </c>
      <c r="L121" s="29" t="s">
        <v>1252</v>
      </c>
      <c r="M121" s="21" t="s">
        <v>1253</v>
      </c>
      <c r="N121" s="48">
        <v>45485</v>
      </c>
      <c r="O121" s="21">
        <f>INDEX(Auxiliar!$D$5:$F$13,MATCH(Table1[[#This Row],[Tipologia_Testes]],Auxiliar!$B$5:$B$13,0),MATCH(Table1[[#This Row],[Complexidade]],Auxiliar!$D$4:$F$4,0))</f>
        <v>2</v>
      </c>
      <c r="P121" s="2"/>
      <c r="Q121" s="2" t="s">
        <v>1263</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1247</v>
      </c>
      <c r="L122" s="29" t="s">
        <v>1252</v>
      </c>
      <c r="M122" s="21" t="s">
        <v>1253</v>
      </c>
      <c r="N122" s="48">
        <v>45485</v>
      </c>
      <c r="O122" s="21">
        <f>INDEX(Auxiliar!$D$5:$F$13,MATCH(Table1[[#This Row],[Tipologia_Testes]],Auxiliar!$B$5:$B$13,0),MATCH(Table1[[#This Row],[Complexidade]],Auxiliar!$D$4:$F$4,0))</f>
        <v>2</v>
      </c>
      <c r="P122" s="2"/>
      <c r="Q122" s="2" t="s">
        <v>1263</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1249</v>
      </c>
      <c r="L123" s="29" t="s">
        <v>1252</v>
      </c>
      <c r="M123" s="21" t="s">
        <v>1253</v>
      </c>
      <c r="N123" s="48">
        <v>45485</v>
      </c>
      <c r="O123" s="21">
        <f>INDEX(Auxiliar!$D$5:$F$13,MATCH(Table1[[#This Row],[Tipologia_Testes]],Auxiliar!$B$5:$B$13,0),MATCH(Table1[[#This Row],[Complexidade]],Auxiliar!$D$4:$F$4,0))</f>
        <v>0.1</v>
      </c>
      <c r="P123" s="2"/>
      <c r="Q123" s="2" t="s">
        <v>1263</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1246</v>
      </c>
      <c r="L124" s="29" t="s">
        <v>1252</v>
      </c>
      <c r="M124" s="21" t="s">
        <v>1253</v>
      </c>
      <c r="N124" s="48">
        <v>45490</v>
      </c>
      <c r="O124" s="21">
        <f>INDEX(Auxiliar!$D$5:$F$13,MATCH(Table1[[#This Row],[Tipologia_Testes]],Auxiliar!$B$5:$B$13,0),MATCH(Table1[[#This Row],[Complexidade]],Auxiliar!$D$4:$F$4,0))</f>
        <v>2</v>
      </c>
      <c r="P124" s="2"/>
      <c r="Q124" s="2" t="s">
        <v>1263</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1247</v>
      </c>
      <c r="L125" s="29" t="s">
        <v>1252</v>
      </c>
      <c r="M125" s="21" t="s">
        <v>1253</v>
      </c>
      <c r="N125" s="48">
        <v>45490</v>
      </c>
      <c r="O125" s="21">
        <f>INDEX(Auxiliar!$D$5:$F$13,MATCH(Table1[[#This Row],[Tipologia_Testes]],Auxiliar!$B$5:$B$13,0),MATCH(Table1[[#This Row],[Complexidade]],Auxiliar!$D$4:$F$4,0))</f>
        <v>2</v>
      </c>
      <c r="P125" s="2"/>
      <c r="Q125" s="2" t="s">
        <v>1263</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1249</v>
      </c>
      <c r="L126" s="29" t="s">
        <v>1252</v>
      </c>
      <c r="M126" s="21" t="s">
        <v>1253</v>
      </c>
      <c r="N126" s="48">
        <v>45490</v>
      </c>
      <c r="O126" s="21">
        <f>INDEX(Auxiliar!$D$5:$F$13,MATCH(Table1[[#This Row],[Tipologia_Testes]],Auxiliar!$B$5:$B$13,0),MATCH(Table1[[#This Row],[Complexidade]],Auxiliar!$D$4:$F$4,0))</f>
        <v>0.1</v>
      </c>
      <c r="P126" s="2"/>
      <c r="Q126" s="2" t="s">
        <v>1263</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1936</v>
      </c>
      <c r="H127" s="57" t="str">
        <f>Table1[[#This Row],[Tabela]]&amp;Table1[[#This Row],[Campo]]</f>
        <v>PROPERTYCGARANT_BEM</v>
      </c>
      <c r="I127" s="2" t="s">
        <v>613</v>
      </c>
      <c r="J127" s="43">
        <f>VLOOKUP(Table1[[#This Row],[Status]],Auxiliar!$B$16:$C$24,2,0)</f>
        <v>1</v>
      </c>
      <c r="K127" s="2" t="s">
        <v>1246</v>
      </c>
      <c r="L127" s="29" t="s">
        <v>1252</v>
      </c>
      <c r="M127" s="21" t="s">
        <v>1253</v>
      </c>
      <c r="N127" s="48">
        <v>45667</v>
      </c>
      <c r="O127" s="21">
        <f>INDEX(Auxiliar!$D$5:$F$13,MATCH(Table1[[#This Row],[Tipologia_Testes]],Auxiliar!$B$5:$B$13,0),MATCH(Table1[[#This Row],[Complexidade]],Auxiliar!$D$4:$F$4,0))</f>
        <v>2</v>
      </c>
      <c r="P127" s="2"/>
      <c r="Q127" s="2"/>
      <c r="R127" s="220">
        <v>45603</v>
      </c>
      <c r="S127" s="152"/>
      <c r="T127" s="152"/>
      <c r="U127" s="152"/>
      <c r="V127" s="152">
        <v>45645</v>
      </c>
      <c r="W127" s="2">
        <f>VLOOKUP(Table1[[#This Row],[Status]],Auxiliar!$B$16:$D$24,3,0)*Table1[[#This Row],[Estimação (horas)]]</f>
        <v>2</v>
      </c>
      <c r="X127" s="2"/>
    </row>
    <row r="128" spans="2:24" ht="17.7" hidden="1" customHeight="1">
      <c r="B128" s="2" t="s">
        <v>26</v>
      </c>
      <c r="C128" s="2" t="s">
        <v>54</v>
      </c>
      <c r="D128" s="2"/>
      <c r="E128" s="2" t="s">
        <v>38</v>
      </c>
      <c r="F128" s="2" t="s">
        <v>94</v>
      </c>
      <c r="G128" s="2" t="s">
        <v>1936</v>
      </c>
      <c r="H128" s="57" t="str">
        <f>Table1[[#This Row],[Tabela]]&amp;Table1[[#This Row],[Campo]]</f>
        <v>PROPERTYCGARANT_BEM</v>
      </c>
      <c r="I128" s="2" t="s">
        <v>613</v>
      </c>
      <c r="J128" s="43">
        <f>VLOOKUP(Table1[[#This Row],[Status]],Auxiliar!$B$16:$C$24,2,0)</f>
        <v>1</v>
      </c>
      <c r="K128" s="2" t="s">
        <v>1247</v>
      </c>
      <c r="L128" s="29" t="s">
        <v>1252</v>
      </c>
      <c r="M128" s="21" t="s">
        <v>1253</v>
      </c>
      <c r="N128" s="48">
        <v>45667</v>
      </c>
      <c r="O128" s="21">
        <f>INDEX(Auxiliar!$D$5:$F$13,MATCH(Table1[[#This Row],[Tipologia_Testes]],Auxiliar!$B$5:$B$13,0),MATCH(Table1[[#This Row],[Complexidade]],Auxiliar!$D$4:$F$4,0))</f>
        <v>2</v>
      </c>
      <c r="P128" s="2"/>
      <c r="Q128" s="2"/>
      <c r="R128" s="220">
        <v>45603</v>
      </c>
      <c r="S128" s="152"/>
      <c r="T128" s="152"/>
      <c r="U128" s="152"/>
      <c r="V128" s="152">
        <v>45645</v>
      </c>
      <c r="W128" s="2">
        <f>VLOOKUP(Table1[[#This Row],[Status]],Auxiliar!$B$16:$D$24,3,0)*Table1[[#This Row],[Estimação (horas)]]</f>
        <v>2</v>
      </c>
      <c r="X128" s="2"/>
    </row>
    <row r="129" spans="2:24" ht="17.7" hidden="1" customHeight="1">
      <c r="B129" s="2" t="s">
        <v>26</v>
      </c>
      <c r="C129" s="2" t="s">
        <v>54</v>
      </c>
      <c r="D129" s="2"/>
      <c r="E129" s="2" t="s">
        <v>38</v>
      </c>
      <c r="F129" s="2" t="s">
        <v>94</v>
      </c>
      <c r="G129" s="2" t="s">
        <v>1936</v>
      </c>
      <c r="H129" s="57" t="str">
        <f>Table1[[#This Row],[Tabela]]&amp;Table1[[#This Row],[Campo]]</f>
        <v>PROPERTYCGARANT_BEM</v>
      </c>
      <c r="I129" s="2" t="s">
        <v>613</v>
      </c>
      <c r="J129" s="43">
        <f>VLOOKUP(Table1[[#This Row],[Status]],Auxiliar!$B$16:$C$24,2,0)</f>
        <v>1</v>
      </c>
      <c r="K129" s="2" t="s">
        <v>1249</v>
      </c>
      <c r="L129" s="29" t="s">
        <v>1252</v>
      </c>
      <c r="M129" s="21" t="s">
        <v>1253</v>
      </c>
      <c r="N129" s="48">
        <v>45667</v>
      </c>
      <c r="O129" s="21">
        <f>INDEX(Auxiliar!$D$5:$F$13,MATCH(Table1[[#This Row],[Tipologia_Testes]],Auxiliar!$B$5:$B$13,0),MATCH(Table1[[#This Row],[Complexidade]],Auxiliar!$D$4:$F$4,0))</f>
        <v>0.1</v>
      </c>
      <c r="P129" s="2"/>
      <c r="Q129" s="2"/>
      <c r="R129" s="220">
        <v>45603</v>
      </c>
      <c r="S129" s="152"/>
      <c r="T129" s="152"/>
      <c r="U129" s="152"/>
      <c r="V129" s="152">
        <v>45645</v>
      </c>
      <c r="W129" s="2">
        <f>VLOOKUP(Table1[[#This Row],[Status]],Auxiliar!$B$16:$D$24,3,0)*Table1[[#This Row],[Estimação (horas)]]</f>
        <v>0.1</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1243</v>
      </c>
      <c r="L130" s="29" t="s">
        <v>1244</v>
      </c>
      <c r="M130" s="21" t="s">
        <v>1253</v>
      </c>
      <c r="N130" s="48">
        <v>45485</v>
      </c>
      <c r="O130" s="21">
        <f>INDEX(Auxiliar!$D$5:$F$13,MATCH(Table1[[#This Row],[Tipologia_Testes]],Auxiliar!$B$5:$B$13,0),MATCH(Table1[[#This Row],[Complexidade]],Auxiliar!$D$4:$F$4,0))</f>
        <v>8</v>
      </c>
      <c r="P130" s="23" t="s">
        <v>1268</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1246</v>
      </c>
      <c r="L131" s="29" t="s">
        <v>1244</v>
      </c>
      <c r="M131" s="21" t="s">
        <v>1253</v>
      </c>
      <c r="N131" s="48">
        <v>45485</v>
      </c>
      <c r="O131" s="21">
        <f>INDEX(Auxiliar!$D$5:$F$13,MATCH(Table1[[#This Row],[Tipologia_Testes]],Auxiliar!$B$5:$B$13,0),MATCH(Table1[[#This Row],[Complexidade]],Auxiliar!$D$4:$F$4,0))</f>
        <v>2</v>
      </c>
      <c r="P131" s="2" t="s">
        <v>1269</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1247</v>
      </c>
      <c r="L132" s="29" t="s">
        <v>1244</v>
      </c>
      <c r="M132" s="21" t="s">
        <v>1253</v>
      </c>
      <c r="N132" s="48">
        <v>45485</v>
      </c>
      <c r="O132" s="21">
        <f>INDEX(Auxiliar!$D$5:$F$13,MATCH(Table1[[#This Row],[Tipologia_Testes]],Auxiliar!$B$5:$B$13,0),MATCH(Table1[[#This Row],[Complexidade]],Auxiliar!$D$4:$F$4,0))</f>
        <v>2</v>
      </c>
      <c r="P132" s="2" t="s">
        <v>1269</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1249</v>
      </c>
      <c r="L133" s="29" t="s">
        <v>1244</v>
      </c>
      <c r="M133" s="21" t="s">
        <v>1253</v>
      </c>
      <c r="N133" s="48">
        <v>45485</v>
      </c>
      <c r="O133" s="21">
        <f>INDEX(Auxiliar!$D$5:$F$13,MATCH(Table1[[#This Row],[Tipologia_Testes]],Auxiliar!$B$5:$B$13,0),MATCH(Table1[[#This Row],[Complexidade]],Auxiliar!$D$4:$F$4,0))</f>
        <v>0.1</v>
      </c>
      <c r="P133" s="2" t="s">
        <v>1269</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1246</v>
      </c>
      <c r="L134" s="29" t="s">
        <v>1244</v>
      </c>
      <c r="M134" s="21" t="s">
        <v>1253</v>
      </c>
      <c r="N134" s="48">
        <v>45485</v>
      </c>
      <c r="O134" s="21">
        <f>INDEX(Auxiliar!$D$5:$F$13,MATCH(Table1[[#This Row],[Tipologia_Testes]],Auxiliar!$B$5:$B$13,0),MATCH(Table1[[#This Row],[Complexidade]],Auxiliar!$D$4:$F$4,0))</f>
        <v>2</v>
      </c>
      <c r="P134" s="2" t="s">
        <v>1269</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1247</v>
      </c>
      <c r="L135" s="29" t="s">
        <v>1244</v>
      </c>
      <c r="M135" s="21" t="s">
        <v>1253</v>
      </c>
      <c r="N135" s="48">
        <v>45485</v>
      </c>
      <c r="O135" s="21">
        <f>INDEX(Auxiliar!$D$5:$F$13,MATCH(Table1[[#This Row],[Tipologia_Testes]],Auxiliar!$B$5:$B$13,0),MATCH(Table1[[#This Row],[Complexidade]],Auxiliar!$D$4:$F$4,0))</f>
        <v>2</v>
      </c>
      <c r="P135" s="2" t="s">
        <v>1269</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1249</v>
      </c>
      <c r="L136" s="29" t="s">
        <v>1244</v>
      </c>
      <c r="M136" s="21" t="s">
        <v>1253</v>
      </c>
      <c r="N136" s="48">
        <v>45485</v>
      </c>
      <c r="O136" s="21">
        <f>INDEX(Auxiliar!$D$5:$F$13,MATCH(Table1[[#This Row],[Tipologia_Testes]],Auxiliar!$B$5:$B$13,0),MATCH(Table1[[#This Row],[Complexidade]],Auxiliar!$D$4:$F$4,0))</f>
        <v>0.1</v>
      </c>
      <c r="P136" s="2" t="s">
        <v>1269</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1246</v>
      </c>
      <c r="L137" s="29" t="s">
        <v>1244</v>
      </c>
      <c r="M137" s="21" t="s">
        <v>1253</v>
      </c>
      <c r="N137" s="48">
        <v>45485</v>
      </c>
      <c r="O137" s="21">
        <f>INDEX(Auxiliar!$D$5:$F$13,MATCH(Table1[[#This Row],[Tipologia_Testes]],Auxiliar!$B$5:$B$13,0),MATCH(Table1[[#This Row],[Complexidade]],Auxiliar!$D$4:$F$4,0))</f>
        <v>2</v>
      </c>
      <c r="P137" s="2" t="s">
        <v>1269</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1247</v>
      </c>
      <c r="L138" s="29" t="s">
        <v>1244</v>
      </c>
      <c r="M138" s="21" t="s">
        <v>1253</v>
      </c>
      <c r="N138" s="48">
        <v>45485</v>
      </c>
      <c r="O138" s="21">
        <f>INDEX(Auxiliar!$D$5:$F$13,MATCH(Table1[[#This Row],[Tipologia_Testes]],Auxiliar!$B$5:$B$13,0),MATCH(Table1[[#This Row],[Complexidade]],Auxiliar!$D$4:$F$4,0))</f>
        <v>2</v>
      </c>
      <c r="P138" s="2" t="s">
        <v>1269</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1249</v>
      </c>
      <c r="L139" s="29" t="s">
        <v>1244</v>
      </c>
      <c r="M139" s="21" t="s">
        <v>1253</v>
      </c>
      <c r="N139" s="48">
        <v>45485</v>
      </c>
      <c r="O139" s="21">
        <f>INDEX(Auxiliar!$D$5:$F$13,MATCH(Table1[[#This Row],[Tipologia_Testes]],Auxiliar!$B$5:$B$13,0),MATCH(Table1[[#This Row],[Complexidade]],Auxiliar!$D$4:$F$4,0))</f>
        <v>0.1</v>
      </c>
      <c r="P139" s="2" t="s">
        <v>1269</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1246</v>
      </c>
      <c r="L140" s="29" t="s">
        <v>1244</v>
      </c>
      <c r="M140" s="21" t="s">
        <v>1253</v>
      </c>
      <c r="N140" s="48">
        <v>45485</v>
      </c>
      <c r="O140" s="21">
        <f>INDEX(Auxiliar!$D$5:$F$13,MATCH(Table1[[#This Row],[Tipologia_Testes]],Auxiliar!$B$5:$B$13,0),MATCH(Table1[[#This Row],[Complexidade]],Auxiliar!$D$4:$F$4,0))</f>
        <v>2</v>
      </c>
      <c r="P140" s="2" t="s">
        <v>1269</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1247</v>
      </c>
      <c r="L141" s="29" t="s">
        <v>1244</v>
      </c>
      <c r="M141" s="21" t="s">
        <v>1253</v>
      </c>
      <c r="N141" s="48">
        <v>45485</v>
      </c>
      <c r="O141" s="21">
        <f>INDEX(Auxiliar!$D$5:$F$13,MATCH(Table1[[#This Row],[Tipologia_Testes]],Auxiliar!$B$5:$B$13,0),MATCH(Table1[[#This Row],[Complexidade]],Auxiliar!$D$4:$F$4,0))</f>
        <v>2</v>
      </c>
      <c r="P141" s="2" t="s">
        <v>1269</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1249</v>
      </c>
      <c r="L142" s="29" t="s">
        <v>1244</v>
      </c>
      <c r="M142" s="21" t="s">
        <v>1253</v>
      </c>
      <c r="N142" s="48">
        <v>45485</v>
      </c>
      <c r="O142" s="21">
        <f>INDEX(Auxiliar!$D$5:$F$13,MATCH(Table1[[#This Row],[Tipologia_Testes]],Auxiliar!$B$5:$B$13,0),MATCH(Table1[[#This Row],[Complexidade]],Auxiliar!$D$4:$F$4,0))</f>
        <v>0.1</v>
      </c>
      <c r="P142" s="2" t="s">
        <v>1269</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1246</v>
      </c>
      <c r="L143" s="29" t="s">
        <v>1244</v>
      </c>
      <c r="M143" s="21" t="s">
        <v>1253</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1247</v>
      </c>
      <c r="L144" s="29" t="s">
        <v>1244</v>
      </c>
      <c r="M144" s="21" t="s">
        <v>1253</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1249</v>
      </c>
      <c r="L145" s="29" t="s">
        <v>1244</v>
      </c>
      <c r="M145" s="21" t="s">
        <v>1253</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1246</v>
      </c>
      <c r="L146" s="29" t="s">
        <v>1244</v>
      </c>
      <c r="M146" s="21" t="s">
        <v>1253</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1247</v>
      </c>
      <c r="L147" s="29" t="s">
        <v>1244</v>
      </c>
      <c r="M147" s="21" t="s">
        <v>1253</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1249</v>
      </c>
      <c r="L148" s="29" t="s">
        <v>1244</v>
      </c>
      <c r="M148" s="21" t="s">
        <v>1253</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1246</v>
      </c>
      <c r="L149" s="29" t="s">
        <v>1244</v>
      </c>
      <c r="M149" s="21" t="s">
        <v>1253</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1247</v>
      </c>
      <c r="L150" s="29" t="s">
        <v>1244</v>
      </c>
      <c r="M150" s="21" t="s">
        <v>1253</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1249</v>
      </c>
      <c r="L151" s="29" t="s">
        <v>1244</v>
      </c>
      <c r="M151" s="21" t="s">
        <v>1253</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1246</v>
      </c>
      <c r="L152" s="29" t="s">
        <v>1244</v>
      </c>
      <c r="M152" s="21" t="s">
        <v>1253</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1247</v>
      </c>
      <c r="L153" s="29" t="s">
        <v>1244</v>
      </c>
      <c r="M153" s="21" t="s">
        <v>1253</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1249</v>
      </c>
      <c r="L154" s="29" t="s">
        <v>1244</v>
      </c>
      <c r="M154" s="21" t="s">
        <v>1253</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1246</v>
      </c>
      <c r="L155" s="29" t="s">
        <v>1244</v>
      </c>
      <c r="M155" s="21" t="s">
        <v>1253</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1247</v>
      </c>
      <c r="L156" s="29" t="s">
        <v>1244</v>
      </c>
      <c r="M156" s="21" t="s">
        <v>1253</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1249</v>
      </c>
      <c r="L157" s="29" t="s">
        <v>1244</v>
      </c>
      <c r="M157" s="21" t="s">
        <v>1253</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613</v>
      </c>
      <c r="J158" s="43">
        <f>VLOOKUP(Table1[[#This Row],[Status]],Auxiliar!$B$16:$C$24,2,0)</f>
        <v>1</v>
      </c>
      <c r="K158" s="2" t="s">
        <v>1246</v>
      </c>
      <c r="L158" s="29" t="s">
        <v>1244</v>
      </c>
      <c r="M158" s="21" t="s">
        <v>1253</v>
      </c>
      <c r="N158" s="48">
        <v>45612</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2</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613</v>
      </c>
      <c r="J159" s="43">
        <f>VLOOKUP(Table1[[#This Row],[Status]],Auxiliar!$B$16:$C$24,2,0)</f>
        <v>1</v>
      </c>
      <c r="K159" s="2" t="s">
        <v>1247</v>
      </c>
      <c r="L159" s="29" t="s">
        <v>1244</v>
      </c>
      <c r="M159" s="21" t="s">
        <v>1253</v>
      </c>
      <c r="N159" s="48">
        <v>45612</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2</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613</v>
      </c>
      <c r="J160" s="43">
        <f>VLOOKUP(Table1[[#This Row],[Status]],Auxiliar!$B$16:$C$24,2,0)</f>
        <v>1</v>
      </c>
      <c r="K160" s="2" t="s">
        <v>1249</v>
      </c>
      <c r="L160" s="29" t="s">
        <v>1244</v>
      </c>
      <c r="M160" s="21" t="s">
        <v>1253</v>
      </c>
      <c r="N160" s="48">
        <v>45612</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0.1</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1246</v>
      </c>
      <c r="L161" s="29" t="s">
        <v>1244</v>
      </c>
      <c r="M161" s="21" t="s">
        <v>1253</v>
      </c>
      <c r="N161" s="48">
        <v>45485</v>
      </c>
      <c r="O161" s="21">
        <f>INDEX(Auxiliar!$D$5:$F$13,MATCH(Table1[[#This Row],[Tipologia_Testes]],Auxiliar!$B$5:$B$13,0),MATCH(Table1[[#This Row],[Complexidade]],Auxiliar!$D$4:$F$4,0))</f>
        <v>2</v>
      </c>
      <c r="P161" s="2" t="s">
        <v>1270</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1247</v>
      </c>
      <c r="L162" s="29" t="s">
        <v>1244</v>
      </c>
      <c r="M162" s="21" t="s">
        <v>1253</v>
      </c>
      <c r="N162" s="48">
        <v>45485</v>
      </c>
      <c r="O162" s="21">
        <f>INDEX(Auxiliar!$D$5:$F$13,MATCH(Table1[[#This Row],[Tipologia_Testes]],Auxiliar!$B$5:$B$13,0),MATCH(Table1[[#This Row],[Complexidade]],Auxiliar!$D$4:$F$4,0))</f>
        <v>2</v>
      </c>
      <c r="P162" s="2" t="s">
        <v>1270</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1249</v>
      </c>
      <c r="L163" s="29" t="s">
        <v>1244</v>
      </c>
      <c r="M163" s="21" t="s">
        <v>1253</v>
      </c>
      <c r="N163" s="48">
        <v>45485</v>
      </c>
      <c r="O163" s="21">
        <f>INDEX(Auxiliar!$D$5:$F$13,MATCH(Table1[[#This Row],[Tipologia_Testes]],Auxiliar!$B$5:$B$13,0),MATCH(Table1[[#This Row],[Complexidade]],Auxiliar!$D$4:$F$4,0))</f>
        <v>0.1</v>
      </c>
      <c r="P163" s="2" t="s">
        <v>1270</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1246</v>
      </c>
      <c r="L164" s="29" t="s">
        <v>1244</v>
      </c>
      <c r="M164" s="21" t="s">
        <v>1253</v>
      </c>
      <c r="N164" s="48">
        <v>45485</v>
      </c>
      <c r="O164" s="21">
        <f>INDEX(Auxiliar!$D$5:$F$13,MATCH(Table1[[#This Row],[Tipologia_Testes]],Auxiliar!$B$5:$B$13,0),MATCH(Table1[[#This Row],[Complexidade]],Auxiliar!$D$4:$F$4,0))</f>
        <v>2</v>
      </c>
      <c r="P164" s="2" t="s">
        <v>1270</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1247</v>
      </c>
      <c r="L165" s="29" t="s">
        <v>1244</v>
      </c>
      <c r="M165" s="21" t="s">
        <v>1253</v>
      </c>
      <c r="N165" s="48">
        <v>45485</v>
      </c>
      <c r="O165" s="21">
        <f>INDEX(Auxiliar!$D$5:$F$13,MATCH(Table1[[#This Row],[Tipologia_Testes]],Auxiliar!$B$5:$B$13,0),MATCH(Table1[[#This Row],[Complexidade]],Auxiliar!$D$4:$F$4,0))</f>
        <v>2</v>
      </c>
      <c r="P165" s="2" t="s">
        <v>1270</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1249</v>
      </c>
      <c r="L166" s="29" t="s">
        <v>1244</v>
      </c>
      <c r="M166" s="21" t="s">
        <v>1253</v>
      </c>
      <c r="N166" s="48">
        <v>45485</v>
      </c>
      <c r="O166" s="21">
        <f>INDEX(Auxiliar!$D$5:$F$13,MATCH(Table1[[#This Row],[Tipologia_Testes]],Auxiliar!$B$5:$B$13,0),MATCH(Table1[[#This Row],[Complexidade]],Auxiliar!$D$4:$F$4,0))</f>
        <v>0.1</v>
      </c>
      <c r="P166" s="2" t="s">
        <v>1270</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1246</v>
      </c>
      <c r="L167" s="29" t="s">
        <v>1244</v>
      </c>
      <c r="M167" s="21" t="s">
        <v>1253</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1247</v>
      </c>
      <c r="L168" s="29" t="s">
        <v>1244</v>
      </c>
      <c r="M168" s="21" t="s">
        <v>1253</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1249</v>
      </c>
      <c r="L169" s="29" t="s">
        <v>1244</v>
      </c>
      <c r="M169" s="21" t="s">
        <v>1253</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1246</v>
      </c>
      <c r="L170" s="29" t="s">
        <v>1244</v>
      </c>
      <c r="M170" s="21" t="s">
        <v>1253</v>
      </c>
      <c r="N170" s="48">
        <v>45485</v>
      </c>
      <c r="O170" s="21">
        <f>INDEX(Auxiliar!$D$5:$F$13,MATCH(Table1[[#This Row],[Tipologia_Testes]],Auxiliar!$B$5:$B$13,0),MATCH(Table1[[#This Row],[Complexidade]],Auxiliar!$D$4:$F$4,0))</f>
        <v>2</v>
      </c>
      <c r="P170" s="2" t="s">
        <v>1270</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1247</v>
      </c>
      <c r="L171" s="29" t="s">
        <v>1244</v>
      </c>
      <c r="M171" s="21" t="s">
        <v>1253</v>
      </c>
      <c r="N171" s="48">
        <v>45485</v>
      </c>
      <c r="O171" s="21">
        <f>INDEX(Auxiliar!$D$5:$F$13,MATCH(Table1[[#This Row],[Tipologia_Testes]],Auxiliar!$B$5:$B$13,0),MATCH(Table1[[#This Row],[Complexidade]],Auxiliar!$D$4:$F$4,0))</f>
        <v>2</v>
      </c>
      <c r="P171" s="2" t="s">
        <v>1270</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1249</v>
      </c>
      <c r="L172" s="29" t="s">
        <v>1244</v>
      </c>
      <c r="M172" s="21" t="s">
        <v>1253</v>
      </c>
      <c r="N172" s="48">
        <v>45485</v>
      </c>
      <c r="O172" s="21">
        <f>INDEX(Auxiliar!$D$5:$F$13,MATCH(Table1[[#This Row],[Tipologia_Testes]],Auxiliar!$B$5:$B$13,0),MATCH(Table1[[#This Row],[Complexidade]],Auxiliar!$D$4:$F$4,0))</f>
        <v>0.1</v>
      </c>
      <c r="P172" s="2" t="s">
        <v>1270</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1246</v>
      </c>
      <c r="L173" s="29" t="s">
        <v>1244</v>
      </c>
      <c r="M173" s="21" t="s">
        <v>1253</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1247</v>
      </c>
      <c r="L174" s="29" t="s">
        <v>1244</v>
      </c>
      <c r="M174" s="21" t="s">
        <v>1253</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1249</v>
      </c>
      <c r="L175" s="29" t="s">
        <v>1244</v>
      </c>
      <c r="M175" s="21" t="s">
        <v>1253</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1246</v>
      </c>
      <c r="L176" s="29" t="s">
        <v>1244</v>
      </c>
      <c r="M176" s="21" t="s">
        <v>1253</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1247</v>
      </c>
      <c r="L177" s="29" t="s">
        <v>1244</v>
      </c>
      <c r="M177" s="21" t="s">
        <v>1253</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1249</v>
      </c>
      <c r="L178" s="29" t="s">
        <v>1244</v>
      </c>
      <c r="M178" s="21" t="s">
        <v>1253</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1246</v>
      </c>
      <c r="L179" s="29" t="s">
        <v>1244</v>
      </c>
      <c r="M179" s="21" t="s">
        <v>1253</v>
      </c>
      <c r="N179" s="48">
        <v>45485</v>
      </c>
      <c r="O179" s="21">
        <f>INDEX(Auxiliar!$D$5:$F$13,MATCH(Table1[[#This Row],[Tipologia_Testes]],Auxiliar!$B$5:$B$13,0),MATCH(Table1[[#This Row],[Complexidade]],Auxiliar!$D$4:$F$4,0))</f>
        <v>2</v>
      </c>
      <c r="P179" s="2" t="s">
        <v>1270</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1247</v>
      </c>
      <c r="L180" s="29" t="s">
        <v>1244</v>
      </c>
      <c r="M180" s="21" t="s">
        <v>1253</v>
      </c>
      <c r="N180" s="48">
        <v>45485</v>
      </c>
      <c r="O180" s="21">
        <f>INDEX(Auxiliar!$D$5:$F$13,MATCH(Table1[[#This Row],[Tipologia_Testes]],Auxiliar!$B$5:$B$13,0),MATCH(Table1[[#This Row],[Complexidade]],Auxiliar!$D$4:$F$4,0))</f>
        <v>2</v>
      </c>
      <c r="P180" s="2" t="s">
        <v>1270</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1249</v>
      </c>
      <c r="L181" s="29" t="s">
        <v>1244</v>
      </c>
      <c r="M181" s="21" t="s">
        <v>1253</v>
      </c>
      <c r="N181" s="48">
        <v>45485</v>
      </c>
      <c r="O181" s="21">
        <f>INDEX(Auxiliar!$D$5:$F$13,MATCH(Table1[[#This Row],[Tipologia_Testes]],Auxiliar!$B$5:$B$13,0),MATCH(Table1[[#This Row],[Complexidade]],Auxiliar!$D$4:$F$4,0))</f>
        <v>0.1</v>
      </c>
      <c r="P181" s="2" t="s">
        <v>1270</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1246</v>
      </c>
      <c r="L182" s="29" t="s">
        <v>1244</v>
      </c>
      <c r="M182" s="21" t="s">
        <v>1253</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1247</v>
      </c>
      <c r="L183" s="29" t="s">
        <v>1244</v>
      </c>
      <c r="M183" s="21" t="s">
        <v>1253</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1249</v>
      </c>
      <c r="L184" s="29" t="s">
        <v>1244</v>
      </c>
      <c r="M184" s="21" t="s">
        <v>1253</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1246</v>
      </c>
      <c r="L185" s="29" t="s">
        <v>1244</v>
      </c>
      <c r="M185" s="21" t="s">
        <v>1253</v>
      </c>
      <c r="N185" s="48">
        <v>45485</v>
      </c>
      <c r="O185" s="21">
        <f>INDEX(Auxiliar!$D$5:$F$13,MATCH(Table1[[#This Row],[Tipologia_Testes]],Auxiliar!$B$5:$B$13,0),MATCH(Table1[[#This Row],[Complexidade]],Auxiliar!$D$4:$F$4,0))</f>
        <v>2</v>
      </c>
      <c r="P185" s="2" t="s">
        <v>1270</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1247</v>
      </c>
      <c r="L186" s="29" t="s">
        <v>1244</v>
      </c>
      <c r="M186" s="21" t="s">
        <v>1253</v>
      </c>
      <c r="N186" s="48">
        <v>45485</v>
      </c>
      <c r="O186" s="21">
        <f>INDEX(Auxiliar!$D$5:$F$13,MATCH(Table1[[#This Row],[Tipologia_Testes]],Auxiliar!$B$5:$B$13,0),MATCH(Table1[[#This Row],[Complexidade]],Auxiliar!$D$4:$F$4,0))</f>
        <v>2</v>
      </c>
      <c r="P186" s="2" t="s">
        <v>1270</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1249</v>
      </c>
      <c r="L187" s="29" t="s">
        <v>1244</v>
      </c>
      <c r="M187" s="21" t="s">
        <v>1253</v>
      </c>
      <c r="N187" s="48">
        <v>45485</v>
      </c>
      <c r="O187" s="21">
        <f>INDEX(Auxiliar!$D$5:$F$13,MATCH(Table1[[#This Row],[Tipologia_Testes]],Auxiliar!$B$5:$B$13,0),MATCH(Table1[[#This Row],[Complexidade]],Auxiliar!$D$4:$F$4,0))</f>
        <v>0.1</v>
      </c>
      <c r="P187" s="2" t="s">
        <v>1270</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1246</v>
      </c>
      <c r="L188" s="29" t="s">
        <v>1244</v>
      </c>
      <c r="M188" s="21" t="s">
        <v>1253</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1247</v>
      </c>
      <c r="L189" s="29" t="s">
        <v>1244</v>
      </c>
      <c r="M189" s="21" t="s">
        <v>1253</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1249</v>
      </c>
      <c r="L190" s="29" t="s">
        <v>1244</v>
      </c>
      <c r="M190" s="21" t="s">
        <v>1253</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1246</v>
      </c>
      <c r="L191" s="29" t="s">
        <v>1244</v>
      </c>
      <c r="M191" s="21" t="s">
        <v>1253</v>
      </c>
      <c r="N191" s="48">
        <v>45485</v>
      </c>
      <c r="O191" s="21">
        <f>INDEX(Auxiliar!$D$5:$F$13,MATCH(Table1[[#This Row],[Tipologia_Testes]],Auxiliar!$B$5:$B$13,0),MATCH(Table1[[#This Row],[Complexidade]],Auxiliar!$D$4:$F$4,0))</f>
        <v>2</v>
      </c>
      <c r="P191" s="2" t="s">
        <v>1270</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1247</v>
      </c>
      <c r="L192" s="29" t="s">
        <v>1244</v>
      </c>
      <c r="M192" s="21" t="s">
        <v>1253</v>
      </c>
      <c r="N192" s="48">
        <v>45485</v>
      </c>
      <c r="O192" s="21">
        <f>INDEX(Auxiliar!$D$5:$F$13,MATCH(Table1[[#This Row],[Tipologia_Testes]],Auxiliar!$B$5:$B$13,0),MATCH(Table1[[#This Row],[Complexidade]],Auxiliar!$D$4:$F$4,0))</f>
        <v>2</v>
      </c>
      <c r="P192" s="2" t="s">
        <v>1270</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1249</v>
      </c>
      <c r="L193" s="29" t="s">
        <v>1244</v>
      </c>
      <c r="M193" s="21" t="s">
        <v>1253</v>
      </c>
      <c r="N193" s="48">
        <v>45485</v>
      </c>
      <c r="O193" s="21">
        <f>INDEX(Auxiliar!$D$5:$F$13,MATCH(Table1[[#This Row],[Tipologia_Testes]],Auxiliar!$B$5:$B$13,0),MATCH(Table1[[#This Row],[Complexidade]],Auxiliar!$D$4:$F$4,0))</f>
        <v>0.1</v>
      </c>
      <c r="P193" s="2" t="s">
        <v>1270</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1246</v>
      </c>
      <c r="L194" s="29" t="s">
        <v>1244</v>
      </c>
      <c r="M194" s="21" t="s">
        <v>1253</v>
      </c>
      <c r="N194" s="48">
        <v>45485</v>
      </c>
      <c r="O194" s="21">
        <f>INDEX(Auxiliar!$D$5:$F$13,MATCH(Table1[[#This Row],[Tipologia_Testes]],Auxiliar!$B$5:$B$13,0),MATCH(Table1[[#This Row],[Complexidade]],Auxiliar!$D$4:$F$4,0))</f>
        <v>2</v>
      </c>
      <c r="P194" s="2" t="s">
        <v>1270</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1247</v>
      </c>
      <c r="L195" s="29" t="s">
        <v>1244</v>
      </c>
      <c r="M195" s="21" t="s">
        <v>1253</v>
      </c>
      <c r="N195" s="48">
        <v>45485</v>
      </c>
      <c r="O195" s="21">
        <f>INDEX(Auxiliar!$D$5:$F$13,MATCH(Table1[[#This Row],[Tipologia_Testes]],Auxiliar!$B$5:$B$13,0),MATCH(Table1[[#This Row],[Complexidade]],Auxiliar!$D$4:$F$4,0))</f>
        <v>2</v>
      </c>
      <c r="P195" s="2" t="s">
        <v>1270</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1249</v>
      </c>
      <c r="L196" s="29" t="s">
        <v>1244</v>
      </c>
      <c r="M196" s="21" t="s">
        <v>1253</v>
      </c>
      <c r="N196" s="48">
        <v>45485</v>
      </c>
      <c r="O196" s="21">
        <f>INDEX(Auxiliar!$D$5:$F$13,MATCH(Table1[[#This Row],[Tipologia_Testes]],Auxiliar!$B$5:$B$13,0),MATCH(Table1[[#This Row],[Complexidade]],Auxiliar!$D$4:$F$4,0))</f>
        <v>0.1</v>
      </c>
      <c r="P196" s="2" t="s">
        <v>1270</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1246</v>
      </c>
      <c r="L197" s="29" t="s">
        <v>1244</v>
      </c>
      <c r="M197" s="21" t="s">
        <v>1253</v>
      </c>
      <c r="N197" s="48">
        <v>45485</v>
      </c>
      <c r="O197" s="21">
        <f>INDEX(Auxiliar!$D$5:$F$13,MATCH(Table1[[#This Row],[Tipologia_Testes]],Auxiliar!$B$5:$B$13,0),MATCH(Table1[[#This Row],[Complexidade]],Auxiliar!$D$4:$F$4,0))</f>
        <v>2</v>
      </c>
      <c r="P197" s="2" t="s">
        <v>1270</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1247</v>
      </c>
      <c r="L198" s="29" t="s">
        <v>1244</v>
      </c>
      <c r="M198" s="21" t="s">
        <v>1253</v>
      </c>
      <c r="N198" s="48">
        <v>45485</v>
      </c>
      <c r="O198" s="21">
        <f>INDEX(Auxiliar!$D$5:$F$13,MATCH(Table1[[#This Row],[Tipologia_Testes]],Auxiliar!$B$5:$B$13,0),MATCH(Table1[[#This Row],[Complexidade]],Auxiliar!$D$4:$F$4,0))</f>
        <v>2</v>
      </c>
      <c r="P198" s="2" t="s">
        <v>1270</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1249</v>
      </c>
      <c r="L199" s="29" t="s">
        <v>1244</v>
      </c>
      <c r="M199" s="21" t="s">
        <v>1253</v>
      </c>
      <c r="N199" s="48">
        <v>45485</v>
      </c>
      <c r="O199" s="21">
        <f>INDEX(Auxiliar!$D$5:$F$13,MATCH(Table1[[#This Row],[Tipologia_Testes]],Auxiliar!$B$5:$B$13,0),MATCH(Table1[[#This Row],[Complexidade]],Auxiliar!$D$4:$F$4,0))</f>
        <v>0.1</v>
      </c>
      <c r="P199" s="2" t="s">
        <v>1270</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1246</v>
      </c>
      <c r="L200" s="29" t="s">
        <v>1244</v>
      </c>
      <c r="M200" s="21" t="s">
        <v>1253</v>
      </c>
      <c r="N200" s="48">
        <v>45485</v>
      </c>
      <c r="O200" s="21">
        <f>INDEX(Auxiliar!$D$5:$F$13,MATCH(Table1[[#This Row],[Tipologia_Testes]],Auxiliar!$B$5:$B$13,0),MATCH(Table1[[#This Row],[Complexidade]],Auxiliar!$D$4:$F$4,0))</f>
        <v>2</v>
      </c>
      <c r="P200" s="2" t="s">
        <v>1270</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1247</v>
      </c>
      <c r="L201" s="29" t="s">
        <v>1244</v>
      </c>
      <c r="M201" s="21" t="s">
        <v>1253</v>
      </c>
      <c r="N201" s="48">
        <v>45485</v>
      </c>
      <c r="O201" s="21">
        <f>INDEX(Auxiliar!$D$5:$F$13,MATCH(Table1[[#This Row],[Tipologia_Testes]],Auxiliar!$B$5:$B$13,0),MATCH(Table1[[#This Row],[Complexidade]],Auxiliar!$D$4:$F$4,0))</f>
        <v>2</v>
      </c>
      <c r="P201" s="2" t="s">
        <v>1270</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1249</v>
      </c>
      <c r="L202" s="29" t="s">
        <v>1244</v>
      </c>
      <c r="M202" s="21" t="s">
        <v>1253</v>
      </c>
      <c r="N202" s="48">
        <v>45485</v>
      </c>
      <c r="O202" s="21">
        <f>INDEX(Auxiliar!$D$5:$F$13,MATCH(Table1[[#This Row],[Tipologia_Testes]],Auxiliar!$B$5:$B$13,0),MATCH(Table1[[#This Row],[Complexidade]],Auxiliar!$D$4:$F$4,0))</f>
        <v>0.1</v>
      </c>
      <c r="P202" s="2" t="s">
        <v>1270</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1246</v>
      </c>
      <c r="L203" s="29" t="s">
        <v>1244</v>
      </c>
      <c r="M203" s="21" t="s">
        <v>1253</v>
      </c>
      <c r="N203" s="48">
        <v>45485</v>
      </c>
      <c r="O203" s="21">
        <f>INDEX(Auxiliar!$D$5:$F$13,MATCH(Table1[[#This Row],[Tipologia_Testes]],Auxiliar!$B$5:$B$13,0),MATCH(Table1[[#This Row],[Complexidade]],Auxiliar!$D$4:$F$4,0))</f>
        <v>2</v>
      </c>
      <c r="P203" s="2" t="s">
        <v>1270</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1247</v>
      </c>
      <c r="L204" s="29" t="s">
        <v>1244</v>
      </c>
      <c r="M204" s="21" t="s">
        <v>1253</v>
      </c>
      <c r="N204" s="48">
        <v>45485</v>
      </c>
      <c r="O204" s="21">
        <f>INDEX(Auxiliar!$D$5:$F$13,MATCH(Table1[[#This Row],[Tipologia_Testes]],Auxiliar!$B$5:$B$13,0),MATCH(Table1[[#This Row],[Complexidade]],Auxiliar!$D$4:$F$4,0))</f>
        <v>2</v>
      </c>
      <c r="P204" s="2" t="s">
        <v>1270</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1249</v>
      </c>
      <c r="L205" s="29" t="s">
        <v>1244</v>
      </c>
      <c r="M205" s="21" t="s">
        <v>1253</v>
      </c>
      <c r="N205" s="48">
        <v>45485</v>
      </c>
      <c r="O205" s="21">
        <f>INDEX(Auxiliar!$D$5:$F$13,MATCH(Table1[[#This Row],[Tipologia_Testes]],Auxiliar!$B$5:$B$13,0),MATCH(Table1[[#This Row],[Complexidade]],Auxiliar!$D$4:$F$4,0))</f>
        <v>0.1</v>
      </c>
      <c r="P205" s="2" t="s">
        <v>1270</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1246</v>
      </c>
      <c r="L206" s="29" t="s">
        <v>1244</v>
      </c>
      <c r="M206" s="21" t="s">
        <v>1253</v>
      </c>
      <c r="N206" s="48">
        <v>45485</v>
      </c>
      <c r="O206" s="21">
        <f>INDEX(Auxiliar!$D$5:$F$13,MATCH(Table1[[#This Row],[Tipologia_Testes]],Auxiliar!$B$5:$B$13,0),MATCH(Table1[[#This Row],[Complexidade]],Auxiliar!$D$4:$F$4,0))</f>
        <v>2</v>
      </c>
      <c r="P206" s="2" t="s">
        <v>1270</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1247</v>
      </c>
      <c r="L207" s="29" t="s">
        <v>1244</v>
      </c>
      <c r="M207" s="21" t="s">
        <v>1253</v>
      </c>
      <c r="N207" s="48">
        <v>45485</v>
      </c>
      <c r="O207" s="21">
        <f>INDEX(Auxiliar!$D$5:$F$13,MATCH(Table1[[#This Row],[Tipologia_Testes]],Auxiliar!$B$5:$B$13,0),MATCH(Table1[[#This Row],[Complexidade]],Auxiliar!$D$4:$F$4,0))</f>
        <v>2</v>
      </c>
      <c r="P207" s="2" t="s">
        <v>1270</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1249</v>
      </c>
      <c r="L208" s="29" t="s">
        <v>1244</v>
      </c>
      <c r="M208" s="21" t="s">
        <v>1253</v>
      </c>
      <c r="N208" s="48">
        <v>45485</v>
      </c>
      <c r="O208" s="21">
        <f>INDEX(Auxiliar!$D$5:$F$13,MATCH(Table1[[#This Row],[Tipologia_Testes]],Auxiliar!$B$5:$B$13,0),MATCH(Table1[[#This Row],[Complexidade]],Auxiliar!$D$4:$F$4,0))</f>
        <v>0.1</v>
      </c>
      <c r="P208" s="2" t="s">
        <v>1270</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1246</v>
      </c>
      <c r="L209" s="29" t="s">
        <v>1244</v>
      </c>
      <c r="M209" s="21" t="s">
        <v>1253</v>
      </c>
      <c r="N209" s="48">
        <v>45485</v>
      </c>
      <c r="O209" s="21">
        <f>INDEX(Auxiliar!$D$5:$F$13,MATCH(Table1[[#This Row],[Tipologia_Testes]],Auxiliar!$B$5:$B$13,0),MATCH(Table1[[#This Row],[Complexidade]],Auxiliar!$D$4:$F$4,0))</f>
        <v>2</v>
      </c>
      <c r="P209" s="2" t="s">
        <v>1270</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1247</v>
      </c>
      <c r="L210" s="29" t="s">
        <v>1244</v>
      </c>
      <c r="M210" s="21" t="s">
        <v>1253</v>
      </c>
      <c r="N210" s="48">
        <v>45485</v>
      </c>
      <c r="O210" s="21">
        <f>INDEX(Auxiliar!$D$5:$F$13,MATCH(Table1[[#This Row],[Tipologia_Testes]],Auxiliar!$B$5:$B$13,0),MATCH(Table1[[#This Row],[Complexidade]],Auxiliar!$D$4:$F$4,0))</f>
        <v>2</v>
      </c>
      <c r="P210" s="2" t="s">
        <v>1270</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1249</v>
      </c>
      <c r="L211" s="29" t="s">
        <v>1244</v>
      </c>
      <c r="M211" s="21" t="s">
        <v>1253</v>
      </c>
      <c r="N211" s="48">
        <v>45485</v>
      </c>
      <c r="O211" s="21">
        <f>INDEX(Auxiliar!$D$5:$F$13,MATCH(Table1[[#This Row],[Tipologia_Testes]],Auxiliar!$B$5:$B$13,0),MATCH(Table1[[#This Row],[Complexidade]],Auxiliar!$D$4:$F$4,0))</f>
        <v>0.1</v>
      </c>
      <c r="P211" s="2" t="s">
        <v>1270</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1246</v>
      </c>
      <c r="L212" s="29" t="s">
        <v>1244</v>
      </c>
      <c r="M212" s="21" t="s">
        <v>1253</v>
      </c>
      <c r="N212" s="48">
        <v>45485</v>
      </c>
      <c r="O212" s="21">
        <f>INDEX(Auxiliar!$D$5:$F$13,MATCH(Table1[[#This Row],[Tipologia_Testes]],Auxiliar!$B$5:$B$13,0),MATCH(Table1[[#This Row],[Complexidade]],Auxiliar!$D$4:$F$4,0))</f>
        <v>2</v>
      </c>
      <c r="P212" s="2" t="s">
        <v>1270</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1247</v>
      </c>
      <c r="L213" s="29" t="s">
        <v>1244</v>
      </c>
      <c r="M213" s="21" t="s">
        <v>1253</v>
      </c>
      <c r="N213" s="48">
        <v>45485</v>
      </c>
      <c r="O213" s="21">
        <f>INDEX(Auxiliar!$D$5:$F$13,MATCH(Table1[[#This Row],[Tipologia_Testes]],Auxiliar!$B$5:$B$13,0),MATCH(Table1[[#This Row],[Complexidade]],Auxiliar!$D$4:$F$4,0))</f>
        <v>2</v>
      </c>
      <c r="P213" s="2" t="s">
        <v>1270</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1249</v>
      </c>
      <c r="L214" s="29" t="s">
        <v>1244</v>
      </c>
      <c r="M214" s="21" t="s">
        <v>1253</v>
      </c>
      <c r="N214" s="48">
        <v>45485</v>
      </c>
      <c r="O214" s="21">
        <f>INDEX(Auxiliar!$D$5:$F$13,MATCH(Table1[[#This Row],[Tipologia_Testes]],Auxiliar!$B$5:$B$13,0),MATCH(Table1[[#This Row],[Complexidade]],Auxiliar!$D$4:$F$4,0))</f>
        <v>0.1</v>
      </c>
      <c r="P214" s="2" t="s">
        <v>1270</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1246</v>
      </c>
      <c r="L215" s="29" t="s">
        <v>1244</v>
      </c>
      <c r="M215" s="21" t="s">
        <v>1253</v>
      </c>
      <c r="N215" s="48">
        <v>45485</v>
      </c>
      <c r="O215" s="21">
        <f>INDEX(Auxiliar!$D$5:$F$13,MATCH(Table1[[#This Row],[Tipologia_Testes]],Auxiliar!$B$5:$B$13,0),MATCH(Table1[[#This Row],[Complexidade]],Auxiliar!$D$4:$F$4,0))</f>
        <v>2</v>
      </c>
      <c r="P215" s="2" t="s">
        <v>1270</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1247</v>
      </c>
      <c r="L216" s="29" t="s">
        <v>1244</v>
      </c>
      <c r="M216" s="21" t="s">
        <v>1253</v>
      </c>
      <c r="N216" s="48">
        <v>45485</v>
      </c>
      <c r="O216" s="21">
        <f>INDEX(Auxiliar!$D$5:$F$13,MATCH(Table1[[#This Row],[Tipologia_Testes]],Auxiliar!$B$5:$B$13,0),MATCH(Table1[[#This Row],[Complexidade]],Auxiliar!$D$4:$F$4,0))</f>
        <v>2</v>
      </c>
      <c r="P216" s="2" t="s">
        <v>1270</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1249</v>
      </c>
      <c r="L217" s="29" t="s">
        <v>1244</v>
      </c>
      <c r="M217" s="21" t="s">
        <v>1253</v>
      </c>
      <c r="N217" s="48">
        <v>45485</v>
      </c>
      <c r="O217" s="21">
        <f>INDEX(Auxiliar!$D$5:$F$13,MATCH(Table1[[#This Row],[Tipologia_Testes]],Auxiliar!$B$5:$B$13,0),MATCH(Table1[[#This Row],[Complexidade]],Auxiliar!$D$4:$F$4,0))</f>
        <v>0.1</v>
      </c>
      <c r="P217" s="2" t="s">
        <v>1270</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1246</v>
      </c>
      <c r="L218" s="29" t="s">
        <v>1244</v>
      </c>
      <c r="M218" s="21" t="s">
        <v>1253</v>
      </c>
      <c r="N218" s="48">
        <v>45485</v>
      </c>
      <c r="O218" s="21">
        <f>INDEX(Auxiliar!$D$5:$F$13,MATCH(Table1[[#This Row],[Tipologia_Testes]],Auxiliar!$B$5:$B$13,0),MATCH(Table1[[#This Row],[Complexidade]],Auxiliar!$D$4:$F$4,0))</f>
        <v>2</v>
      </c>
      <c r="P218" s="2" t="s">
        <v>1270</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1247</v>
      </c>
      <c r="L219" s="29" t="s">
        <v>1244</v>
      </c>
      <c r="M219" s="21" t="s">
        <v>1253</v>
      </c>
      <c r="N219" s="48">
        <v>45485</v>
      </c>
      <c r="O219" s="21">
        <f>INDEX(Auxiliar!$D$5:$F$13,MATCH(Table1[[#This Row],[Tipologia_Testes]],Auxiliar!$B$5:$B$13,0),MATCH(Table1[[#This Row],[Complexidade]],Auxiliar!$D$4:$F$4,0))</f>
        <v>2</v>
      </c>
      <c r="P219" s="2" t="s">
        <v>1270</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1249</v>
      </c>
      <c r="L220" s="29" t="s">
        <v>1244</v>
      </c>
      <c r="M220" s="21" t="s">
        <v>1253</v>
      </c>
      <c r="N220" s="48">
        <v>45485</v>
      </c>
      <c r="O220" s="21">
        <f>INDEX(Auxiliar!$D$5:$F$13,MATCH(Table1[[#This Row],[Tipologia_Testes]],Auxiliar!$B$5:$B$13,0),MATCH(Table1[[#This Row],[Complexidade]],Auxiliar!$D$4:$F$4,0))</f>
        <v>0.1</v>
      </c>
      <c r="P220" s="2" t="s">
        <v>1270</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1246</v>
      </c>
      <c r="L221" s="29" t="s">
        <v>1244</v>
      </c>
      <c r="M221" s="21" t="s">
        <v>1253</v>
      </c>
      <c r="N221" s="48">
        <v>45485</v>
      </c>
      <c r="O221" s="21">
        <f>INDEX(Auxiliar!$D$5:$F$13,MATCH(Table1[[#This Row],[Tipologia_Testes]],Auxiliar!$B$5:$B$13,0),MATCH(Table1[[#This Row],[Complexidade]],Auxiliar!$D$4:$F$4,0))</f>
        <v>2</v>
      </c>
      <c r="P221" s="2" t="s">
        <v>1270</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1247</v>
      </c>
      <c r="L222" s="29" t="s">
        <v>1244</v>
      </c>
      <c r="M222" s="21" t="s">
        <v>1253</v>
      </c>
      <c r="N222" s="48">
        <v>45485</v>
      </c>
      <c r="O222" s="21">
        <f>INDEX(Auxiliar!$D$5:$F$13,MATCH(Table1[[#This Row],[Tipologia_Testes]],Auxiliar!$B$5:$B$13,0),MATCH(Table1[[#This Row],[Complexidade]],Auxiliar!$D$4:$F$4,0))</f>
        <v>2</v>
      </c>
      <c r="P222" s="2" t="s">
        <v>1270</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1249</v>
      </c>
      <c r="L223" s="29" t="s">
        <v>1244</v>
      </c>
      <c r="M223" s="21" t="s">
        <v>1253</v>
      </c>
      <c r="N223" s="48">
        <v>45485</v>
      </c>
      <c r="O223" s="21">
        <f>INDEX(Auxiliar!$D$5:$F$13,MATCH(Table1[[#This Row],[Tipologia_Testes]],Auxiliar!$B$5:$B$13,0),MATCH(Table1[[#This Row],[Complexidade]],Auxiliar!$D$4:$F$4,0))</f>
        <v>0.1</v>
      </c>
      <c r="P223" s="2" t="s">
        <v>1270</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613</v>
      </c>
      <c r="J224" s="43">
        <f>VLOOKUP(Table1[[#This Row],[Status]],Auxiliar!$B$16:$C$24,2,0)</f>
        <v>1</v>
      </c>
      <c r="K224" s="2" t="s">
        <v>1246</v>
      </c>
      <c r="L224" s="29" t="s">
        <v>1244</v>
      </c>
      <c r="M224" s="21" t="s">
        <v>1253</v>
      </c>
      <c r="N224" s="48">
        <v>45612</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2</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613</v>
      </c>
      <c r="J225" s="43">
        <f>VLOOKUP(Table1[[#This Row],[Status]],Auxiliar!$B$16:$C$24,2,0)</f>
        <v>1</v>
      </c>
      <c r="K225" s="2" t="s">
        <v>1247</v>
      </c>
      <c r="L225" s="29" t="s">
        <v>1244</v>
      </c>
      <c r="M225" s="21" t="s">
        <v>1253</v>
      </c>
      <c r="N225" s="48">
        <v>45612</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2</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613</v>
      </c>
      <c r="J226" s="43">
        <f>VLOOKUP(Table1[[#This Row],[Status]],Auxiliar!$B$16:$C$24,2,0)</f>
        <v>1</v>
      </c>
      <c r="K226" s="2" t="s">
        <v>1249</v>
      </c>
      <c r="L226" s="29" t="s">
        <v>1244</v>
      </c>
      <c r="M226" s="21" t="s">
        <v>1253</v>
      </c>
      <c r="N226" s="48">
        <v>45612</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0.1</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1246</v>
      </c>
      <c r="L227" s="29" t="s">
        <v>1244</v>
      </c>
      <c r="M227" s="21" t="s">
        <v>1253</v>
      </c>
      <c r="N227" s="48">
        <v>45485</v>
      </c>
      <c r="O227" s="21">
        <f>INDEX(Auxiliar!$D$5:$F$13,MATCH(Table1[[#This Row],[Tipologia_Testes]],Auxiliar!$B$5:$B$13,0),MATCH(Table1[[#This Row],[Complexidade]],Auxiliar!$D$4:$F$4,0))</f>
        <v>2</v>
      </c>
      <c r="P227" s="2" t="s">
        <v>1270</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1247</v>
      </c>
      <c r="L228" s="29" t="s">
        <v>1244</v>
      </c>
      <c r="M228" s="21" t="s">
        <v>1253</v>
      </c>
      <c r="N228" s="48">
        <v>45485</v>
      </c>
      <c r="O228" s="21">
        <f>INDEX(Auxiliar!$D$5:$F$13,MATCH(Table1[[#This Row],[Tipologia_Testes]],Auxiliar!$B$5:$B$13,0),MATCH(Table1[[#This Row],[Complexidade]],Auxiliar!$D$4:$F$4,0))</f>
        <v>2</v>
      </c>
      <c r="P228" s="2" t="s">
        <v>1270</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1249</v>
      </c>
      <c r="L229" s="29" t="s">
        <v>1244</v>
      </c>
      <c r="M229" s="21" t="s">
        <v>1253</v>
      </c>
      <c r="N229" s="48">
        <v>45485</v>
      </c>
      <c r="O229" s="21">
        <f>INDEX(Auxiliar!$D$5:$F$13,MATCH(Table1[[#This Row],[Tipologia_Testes]],Auxiliar!$B$5:$B$13,0),MATCH(Table1[[#This Row],[Complexidade]],Auxiliar!$D$4:$F$4,0))</f>
        <v>0.1</v>
      </c>
      <c r="P229" s="2" t="s">
        <v>1270</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1246</v>
      </c>
      <c r="L230" s="29" t="s">
        <v>1244</v>
      </c>
      <c r="M230" s="21" t="s">
        <v>1253</v>
      </c>
      <c r="N230" s="48">
        <v>45485</v>
      </c>
      <c r="O230" s="21">
        <f>INDEX(Auxiliar!$D$5:$F$13,MATCH(Table1[[#This Row],[Tipologia_Testes]],Auxiliar!$B$5:$B$13,0),MATCH(Table1[[#This Row],[Complexidade]],Auxiliar!$D$4:$F$4,0))</f>
        <v>2</v>
      </c>
      <c r="P230" s="2" t="s">
        <v>1270</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1247</v>
      </c>
      <c r="L231" s="29" t="s">
        <v>1244</v>
      </c>
      <c r="M231" s="21" t="s">
        <v>1253</v>
      </c>
      <c r="N231" s="48">
        <v>45485</v>
      </c>
      <c r="O231" s="21">
        <f>INDEX(Auxiliar!$D$5:$F$13,MATCH(Table1[[#This Row],[Tipologia_Testes]],Auxiliar!$B$5:$B$13,0),MATCH(Table1[[#This Row],[Complexidade]],Auxiliar!$D$4:$F$4,0))</f>
        <v>2</v>
      </c>
      <c r="P231" s="2" t="s">
        <v>1270</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1249</v>
      </c>
      <c r="L232" s="29" t="s">
        <v>1244</v>
      </c>
      <c r="M232" s="21" t="s">
        <v>1253</v>
      </c>
      <c r="N232" s="48">
        <v>45485</v>
      </c>
      <c r="O232" s="21">
        <f>INDEX(Auxiliar!$D$5:$F$13,MATCH(Table1[[#This Row],[Tipologia_Testes]],Auxiliar!$B$5:$B$13,0),MATCH(Table1[[#This Row],[Complexidade]],Auxiliar!$D$4:$F$4,0))</f>
        <v>0.1</v>
      </c>
      <c r="P232" s="2" t="s">
        <v>1270</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1246</v>
      </c>
      <c r="L233" s="29" t="s">
        <v>1244</v>
      </c>
      <c r="M233" s="21" t="s">
        <v>1253</v>
      </c>
      <c r="N233" s="48">
        <v>45485</v>
      </c>
      <c r="O233" s="21">
        <f>INDEX(Auxiliar!$D$5:$F$13,MATCH(Table1[[#This Row],[Tipologia_Testes]],Auxiliar!$B$5:$B$13,0),MATCH(Table1[[#This Row],[Complexidade]],Auxiliar!$D$4:$F$4,0))</f>
        <v>2</v>
      </c>
      <c r="P233" s="2" t="s">
        <v>1270</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1247</v>
      </c>
      <c r="L234" s="29" t="s">
        <v>1244</v>
      </c>
      <c r="M234" s="21" t="s">
        <v>1253</v>
      </c>
      <c r="N234" s="48">
        <v>45485</v>
      </c>
      <c r="O234" s="21">
        <f>INDEX(Auxiliar!$D$5:$F$13,MATCH(Table1[[#This Row],[Tipologia_Testes]],Auxiliar!$B$5:$B$13,0),MATCH(Table1[[#This Row],[Complexidade]],Auxiliar!$D$4:$F$4,0))</f>
        <v>2</v>
      </c>
      <c r="P234" s="2" t="s">
        <v>1270</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1249</v>
      </c>
      <c r="L235" s="29" t="s">
        <v>1244</v>
      </c>
      <c r="M235" s="21" t="s">
        <v>1253</v>
      </c>
      <c r="N235" s="48">
        <v>45485</v>
      </c>
      <c r="O235" s="21">
        <f>INDEX(Auxiliar!$D$5:$F$13,MATCH(Table1[[#This Row],[Tipologia_Testes]],Auxiliar!$B$5:$B$13,0),MATCH(Table1[[#This Row],[Complexidade]],Auxiliar!$D$4:$F$4,0))</f>
        <v>0.1</v>
      </c>
      <c r="P235" s="2" t="s">
        <v>1270</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1246</v>
      </c>
      <c r="L236" s="29" t="s">
        <v>1244</v>
      </c>
      <c r="M236" s="21" t="s">
        <v>1253</v>
      </c>
      <c r="N236" s="48">
        <v>45485</v>
      </c>
      <c r="O236" s="21">
        <f>INDEX(Auxiliar!$D$5:$F$13,MATCH(Table1[[#This Row],[Tipologia_Testes]],Auxiliar!$B$5:$B$13,0),MATCH(Table1[[#This Row],[Complexidade]],Auxiliar!$D$4:$F$4,0))</f>
        <v>2</v>
      </c>
      <c r="P236" s="2" t="s">
        <v>1270</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1247</v>
      </c>
      <c r="L237" s="29" t="s">
        <v>1244</v>
      </c>
      <c r="M237" s="21" t="s">
        <v>1253</v>
      </c>
      <c r="N237" s="48">
        <v>45485</v>
      </c>
      <c r="O237" s="21">
        <f>INDEX(Auxiliar!$D$5:$F$13,MATCH(Table1[[#This Row],[Tipologia_Testes]],Auxiliar!$B$5:$B$13,0),MATCH(Table1[[#This Row],[Complexidade]],Auxiliar!$D$4:$F$4,0))</f>
        <v>2</v>
      </c>
      <c r="P237" s="2" t="s">
        <v>1270</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1249</v>
      </c>
      <c r="L238" s="29" t="s">
        <v>1244</v>
      </c>
      <c r="M238" s="21" t="s">
        <v>1253</v>
      </c>
      <c r="N238" s="48">
        <v>45485</v>
      </c>
      <c r="O238" s="21">
        <f>INDEX(Auxiliar!$D$5:$F$13,MATCH(Table1[[#This Row],[Tipologia_Testes]],Auxiliar!$B$5:$B$13,0),MATCH(Table1[[#This Row],[Complexidade]],Auxiliar!$D$4:$F$4,0))</f>
        <v>0.1</v>
      </c>
      <c r="P238" s="2" t="s">
        <v>1270</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1246</v>
      </c>
      <c r="L239" s="29" t="s">
        <v>1244</v>
      </c>
      <c r="M239" s="21" t="s">
        <v>1253</v>
      </c>
      <c r="N239" s="48">
        <v>45485</v>
      </c>
      <c r="O239" s="21">
        <f>INDEX(Auxiliar!$D$5:$F$13,MATCH(Table1[[#This Row],[Tipologia_Testes]],Auxiliar!$B$5:$B$13,0),MATCH(Table1[[#This Row],[Complexidade]],Auxiliar!$D$4:$F$4,0))</f>
        <v>2</v>
      </c>
      <c r="P239" s="2" t="s">
        <v>1270</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1247</v>
      </c>
      <c r="L240" s="29" t="s">
        <v>1244</v>
      </c>
      <c r="M240" s="21" t="s">
        <v>1253</v>
      </c>
      <c r="N240" s="48">
        <v>45485</v>
      </c>
      <c r="O240" s="21">
        <f>INDEX(Auxiliar!$D$5:$F$13,MATCH(Table1[[#This Row],[Tipologia_Testes]],Auxiliar!$B$5:$B$13,0),MATCH(Table1[[#This Row],[Complexidade]],Auxiliar!$D$4:$F$4,0))</f>
        <v>2</v>
      </c>
      <c r="P240" s="2" t="s">
        <v>1270</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1249</v>
      </c>
      <c r="L241" s="29" t="s">
        <v>1244</v>
      </c>
      <c r="M241" s="21" t="s">
        <v>1253</v>
      </c>
      <c r="N241" s="48">
        <v>45485</v>
      </c>
      <c r="O241" s="21">
        <f>INDEX(Auxiliar!$D$5:$F$13,MATCH(Table1[[#This Row],[Tipologia_Testes]],Auxiliar!$B$5:$B$13,0),MATCH(Table1[[#This Row],[Complexidade]],Auxiliar!$D$4:$F$4,0))</f>
        <v>0.1</v>
      </c>
      <c r="P241" s="2" t="s">
        <v>1270</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1246</v>
      </c>
      <c r="L242" s="29" t="s">
        <v>1244</v>
      </c>
      <c r="M242" s="21" t="s">
        <v>1253</v>
      </c>
      <c r="N242" s="48">
        <v>45485</v>
      </c>
      <c r="O242" s="21">
        <f>INDEX(Auxiliar!$D$5:$F$13,MATCH(Table1[[#This Row],[Tipologia_Testes]],Auxiliar!$B$5:$B$13,0),MATCH(Table1[[#This Row],[Complexidade]],Auxiliar!$D$4:$F$4,0))</f>
        <v>2</v>
      </c>
      <c r="P242" s="2" t="s">
        <v>1270</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1247</v>
      </c>
      <c r="L243" s="29" t="s">
        <v>1244</v>
      </c>
      <c r="M243" s="21" t="s">
        <v>1253</v>
      </c>
      <c r="N243" s="48">
        <v>45485</v>
      </c>
      <c r="O243" s="21">
        <f>INDEX(Auxiliar!$D$5:$F$13,MATCH(Table1[[#This Row],[Tipologia_Testes]],Auxiliar!$B$5:$B$13,0),MATCH(Table1[[#This Row],[Complexidade]],Auxiliar!$D$4:$F$4,0))</f>
        <v>2</v>
      </c>
      <c r="P243" s="2" t="s">
        <v>1270</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1249</v>
      </c>
      <c r="L244" s="29" t="s">
        <v>1244</v>
      </c>
      <c r="M244" s="21" t="s">
        <v>1253</v>
      </c>
      <c r="N244" s="48">
        <v>45485</v>
      </c>
      <c r="O244" s="21">
        <f>INDEX(Auxiliar!$D$5:$F$13,MATCH(Table1[[#This Row],[Tipologia_Testes]],Auxiliar!$B$5:$B$13,0),MATCH(Table1[[#This Row],[Complexidade]],Auxiliar!$D$4:$F$4,0))</f>
        <v>0.1</v>
      </c>
      <c r="P244" s="2" t="s">
        <v>1270</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1246</v>
      </c>
      <c r="L245" s="29" t="s">
        <v>1244</v>
      </c>
      <c r="M245" s="21" t="s">
        <v>1253</v>
      </c>
      <c r="N245" s="48">
        <v>45485</v>
      </c>
      <c r="O245" s="21">
        <f>INDEX(Auxiliar!$D$5:$F$13,MATCH(Table1[[#This Row],[Tipologia_Testes]],Auxiliar!$B$5:$B$13,0),MATCH(Table1[[#This Row],[Complexidade]],Auxiliar!$D$4:$F$4,0))</f>
        <v>2</v>
      </c>
      <c r="P245" s="2" t="s">
        <v>1270</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1247</v>
      </c>
      <c r="L246" s="29" t="s">
        <v>1244</v>
      </c>
      <c r="M246" s="21" t="s">
        <v>1253</v>
      </c>
      <c r="N246" s="48">
        <v>45485</v>
      </c>
      <c r="O246" s="21">
        <f>INDEX(Auxiliar!$D$5:$F$13,MATCH(Table1[[#This Row],[Tipologia_Testes]],Auxiliar!$B$5:$B$13,0),MATCH(Table1[[#This Row],[Complexidade]],Auxiliar!$D$4:$F$4,0))</f>
        <v>2</v>
      </c>
      <c r="P246" s="2" t="s">
        <v>1270</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1249</v>
      </c>
      <c r="L247" s="29" t="s">
        <v>1244</v>
      </c>
      <c r="M247" s="21" t="s">
        <v>1253</v>
      </c>
      <c r="N247" s="48">
        <v>45485</v>
      </c>
      <c r="O247" s="21">
        <f>INDEX(Auxiliar!$D$5:$F$13,MATCH(Table1[[#This Row],[Tipologia_Testes]],Auxiliar!$B$5:$B$13,0),MATCH(Table1[[#This Row],[Complexidade]],Auxiliar!$D$4:$F$4,0))</f>
        <v>0.1</v>
      </c>
      <c r="P247" s="2" t="s">
        <v>1270</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1246</v>
      </c>
      <c r="L248" s="29" t="s">
        <v>1244</v>
      </c>
      <c r="M248" s="21" t="s">
        <v>1253</v>
      </c>
      <c r="N248" s="48">
        <v>45485</v>
      </c>
      <c r="O248" s="21">
        <f>INDEX(Auxiliar!$D$5:$F$13,MATCH(Table1[[#This Row],[Tipologia_Testes]],Auxiliar!$B$5:$B$13,0),MATCH(Table1[[#This Row],[Complexidade]],Auxiliar!$D$4:$F$4,0))</f>
        <v>2</v>
      </c>
      <c r="P248" s="2" t="s">
        <v>1270</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1247</v>
      </c>
      <c r="L249" s="29" t="s">
        <v>1244</v>
      </c>
      <c r="M249" s="21" t="s">
        <v>1253</v>
      </c>
      <c r="N249" s="48">
        <v>45485</v>
      </c>
      <c r="O249" s="21">
        <f>INDEX(Auxiliar!$D$5:$F$13,MATCH(Table1[[#This Row],[Tipologia_Testes]],Auxiliar!$B$5:$B$13,0),MATCH(Table1[[#This Row],[Complexidade]],Auxiliar!$D$4:$F$4,0))</f>
        <v>2</v>
      </c>
      <c r="P249" s="2" t="s">
        <v>1270</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1249</v>
      </c>
      <c r="L250" s="29" t="s">
        <v>1244</v>
      </c>
      <c r="M250" s="21" t="s">
        <v>1253</v>
      </c>
      <c r="N250" s="48">
        <v>45485</v>
      </c>
      <c r="O250" s="21">
        <f>INDEX(Auxiliar!$D$5:$F$13,MATCH(Table1[[#This Row],[Tipologia_Testes]],Auxiliar!$B$5:$B$13,0),MATCH(Table1[[#This Row],[Complexidade]],Auxiliar!$D$4:$F$4,0))</f>
        <v>0.1</v>
      </c>
      <c r="P250" s="2" t="s">
        <v>1270</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613</v>
      </c>
      <c r="J251" s="43">
        <f>VLOOKUP(Table1[[#This Row],[Status]],Auxiliar!$B$16:$C$24,2,0)</f>
        <v>1</v>
      </c>
      <c r="K251" s="2" t="s">
        <v>1246</v>
      </c>
      <c r="L251" s="29" t="s">
        <v>1244</v>
      </c>
      <c r="M251" s="21" t="s">
        <v>1253</v>
      </c>
      <c r="N251" s="48">
        <v>45612</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2</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613</v>
      </c>
      <c r="J252" s="43">
        <f>VLOOKUP(Table1[[#This Row],[Status]],Auxiliar!$B$16:$C$24,2,0)</f>
        <v>1</v>
      </c>
      <c r="K252" s="2" t="s">
        <v>1247</v>
      </c>
      <c r="L252" s="29" t="s">
        <v>1244</v>
      </c>
      <c r="M252" s="21" t="s">
        <v>1253</v>
      </c>
      <c r="N252" s="48">
        <v>45612</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2</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613</v>
      </c>
      <c r="J253" s="43">
        <f>VLOOKUP(Table1[[#This Row],[Status]],Auxiliar!$B$16:$C$24,2,0)</f>
        <v>1</v>
      </c>
      <c r="K253" s="2" t="s">
        <v>1249</v>
      </c>
      <c r="L253" s="29" t="s">
        <v>1244</v>
      </c>
      <c r="M253" s="21" t="s">
        <v>1253</v>
      </c>
      <c r="N253" s="48">
        <v>45612</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0.1</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1246</v>
      </c>
      <c r="L254" s="29" t="s">
        <v>1244</v>
      </c>
      <c r="M254" s="21" t="s">
        <v>1253</v>
      </c>
      <c r="N254" s="48">
        <v>45485</v>
      </c>
      <c r="O254" s="21">
        <f>INDEX(Auxiliar!$D$5:$F$13,MATCH(Table1[[#This Row],[Tipologia_Testes]],Auxiliar!$B$5:$B$13,0),MATCH(Table1[[#This Row],[Complexidade]],Auxiliar!$D$4:$F$4,0))</f>
        <v>2</v>
      </c>
      <c r="P254" s="2" t="s">
        <v>1270</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1247</v>
      </c>
      <c r="L255" s="29" t="s">
        <v>1244</v>
      </c>
      <c r="M255" s="21" t="s">
        <v>1253</v>
      </c>
      <c r="N255" s="48">
        <v>45485</v>
      </c>
      <c r="O255" s="21">
        <f>INDEX(Auxiliar!$D$5:$F$13,MATCH(Table1[[#This Row],[Tipologia_Testes]],Auxiliar!$B$5:$B$13,0),MATCH(Table1[[#This Row],[Complexidade]],Auxiliar!$D$4:$F$4,0))</f>
        <v>2</v>
      </c>
      <c r="P255" s="2" t="s">
        <v>1270</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1249</v>
      </c>
      <c r="L256" s="29" t="s">
        <v>1244</v>
      </c>
      <c r="M256" s="21" t="s">
        <v>1253</v>
      </c>
      <c r="N256" s="48">
        <v>45485</v>
      </c>
      <c r="O256" s="21">
        <f>INDEX(Auxiliar!$D$5:$F$13,MATCH(Table1[[#This Row],[Tipologia_Testes]],Auxiliar!$B$5:$B$13,0),MATCH(Table1[[#This Row],[Complexidade]],Auxiliar!$D$4:$F$4,0))</f>
        <v>0.1</v>
      </c>
      <c r="P256" s="2" t="s">
        <v>1270</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1246</v>
      </c>
      <c r="L257" s="29" t="s">
        <v>1244</v>
      </c>
      <c r="M257" s="21" t="s">
        <v>1253</v>
      </c>
      <c r="N257" s="48">
        <v>45485</v>
      </c>
      <c r="O257" s="21">
        <f>INDEX(Auxiliar!$D$5:$F$13,MATCH(Table1[[#This Row],[Tipologia_Testes]],Auxiliar!$B$5:$B$13,0),MATCH(Table1[[#This Row],[Complexidade]],Auxiliar!$D$4:$F$4,0))</f>
        <v>2</v>
      </c>
      <c r="P257" s="2" t="s">
        <v>1270</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1247</v>
      </c>
      <c r="L258" s="29" t="s">
        <v>1244</v>
      </c>
      <c r="M258" s="21" t="s">
        <v>1253</v>
      </c>
      <c r="N258" s="48">
        <v>45485</v>
      </c>
      <c r="O258" s="21">
        <f>INDEX(Auxiliar!$D$5:$F$13,MATCH(Table1[[#This Row],[Tipologia_Testes]],Auxiliar!$B$5:$B$13,0),MATCH(Table1[[#This Row],[Complexidade]],Auxiliar!$D$4:$F$4,0))</f>
        <v>2</v>
      </c>
      <c r="P258" s="2" t="s">
        <v>1270</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1249</v>
      </c>
      <c r="L259" s="29" t="s">
        <v>1244</v>
      </c>
      <c r="M259" s="21" t="s">
        <v>1253</v>
      </c>
      <c r="N259" s="48">
        <v>45485</v>
      </c>
      <c r="O259" s="21">
        <f>INDEX(Auxiliar!$D$5:$F$13,MATCH(Table1[[#This Row],[Tipologia_Testes]],Auxiliar!$B$5:$B$13,0),MATCH(Table1[[#This Row],[Complexidade]],Auxiliar!$D$4:$F$4,0))</f>
        <v>0.1</v>
      </c>
      <c r="P259" s="2" t="s">
        <v>1270</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1246</v>
      </c>
      <c r="L260" s="29" t="s">
        <v>1244</v>
      </c>
      <c r="M260" s="21" t="s">
        <v>1253</v>
      </c>
      <c r="N260" s="48">
        <v>45485</v>
      </c>
      <c r="O260" s="21">
        <f>INDEX(Auxiliar!$D$5:$F$13,MATCH(Table1[[#This Row],[Tipologia_Testes]],Auxiliar!$B$5:$B$13,0),MATCH(Table1[[#This Row],[Complexidade]],Auxiliar!$D$4:$F$4,0))</f>
        <v>2</v>
      </c>
      <c r="P260" s="2" t="s">
        <v>1270</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1247</v>
      </c>
      <c r="L261" s="29" t="s">
        <v>1244</v>
      </c>
      <c r="M261" s="21" t="s">
        <v>1253</v>
      </c>
      <c r="N261" s="48">
        <v>45485</v>
      </c>
      <c r="O261" s="21">
        <f>INDEX(Auxiliar!$D$5:$F$13,MATCH(Table1[[#This Row],[Tipologia_Testes]],Auxiliar!$B$5:$B$13,0),MATCH(Table1[[#This Row],[Complexidade]],Auxiliar!$D$4:$F$4,0))</f>
        <v>2</v>
      </c>
      <c r="P261" s="2" t="s">
        <v>1270</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1249</v>
      </c>
      <c r="L262" s="29" t="s">
        <v>1244</v>
      </c>
      <c r="M262" s="21" t="s">
        <v>1253</v>
      </c>
      <c r="N262" s="48">
        <v>45485</v>
      </c>
      <c r="O262" s="21">
        <f>INDEX(Auxiliar!$D$5:$F$13,MATCH(Table1[[#This Row],[Tipologia_Testes]],Auxiliar!$B$5:$B$13,0),MATCH(Table1[[#This Row],[Complexidade]],Auxiliar!$D$4:$F$4,0))</f>
        <v>0.1</v>
      </c>
      <c r="P262" s="2" t="s">
        <v>1270</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1246</v>
      </c>
      <c r="L263" s="29" t="s">
        <v>1244</v>
      </c>
      <c r="M263" s="21" t="s">
        <v>1253</v>
      </c>
      <c r="N263" s="48">
        <v>45485</v>
      </c>
      <c r="O263" s="21">
        <f>INDEX(Auxiliar!$D$5:$F$13,MATCH(Table1[[#This Row],[Tipologia_Testes]],Auxiliar!$B$5:$B$13,0),MATCH(Table1[[#This Row],[Complexidade]],Auxiliar!$D$4:$F$4,0))</f>
        <v>2</v>
      </c>
      <c r="P263" s="2" t="s">
        <v>1270</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1247</v>
      </c>
      <c r="L264" s="29" t="s">
        <v>1244</v>
      </c>
      <c r="M264" s="21" t="s">
        <v>1253</v>
      </c>
      <c r="N264" s="48">
        <v>45485</v>
      </c>
      <c r="O264" s="21">
        <f>INDEX(Auxiliar!$D$5:$F$13,MATCH(Table1[[#This Row],[Tipologia_Testes]],Auxiliar!$B$5:$B$13,0),MATCH(Table1[[#This Row],[Complexidade]],Auxiliar!$D$4:$F$4,0))</f>
        <v>2</v>
      </c>
      <c r="P264" s="2" t="s">
        <v>1270</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1249</v>
      </c>
      <c r="L265" s="29" t="s">
        <v>1244</v>
      </c>
      <c r="M265" s="21" t="s">
        <v>1253</v>
      </c>
      <c r="N265" s="48">
        <v>45485</v>
      </c>
      <c r="O265" s="21">
        <f>INDEX(Auxiliar!$D$5:$F$13,MATCH(Table1[[#This Row],[Tipologia_Testes]],Auxiliar!$B$5:$B$13,0),MATCH(Table1[[#This Row],[Complexidade]],Auxiliar!$D$4:$F$4,0))</f>
        <v>0.1</v>
      </c>
      <c r="P265" s="2" t="s">
        <v>1270</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1246</v>
      </c>
      <c r="L266" s="29" t="s">
        <v>1244</v>
      </c>
      <c r="M266" s="21" t="s">
        <v>1253</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1247</v>
      </c>
      <c r="L267" s="29" t="s">
        <v>1244</v>
      </c>
      <c r="M267" s="21" t="s">
        <v>1253</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1249</v>
      </c>
      <c r="L268" s="29" t="s">
        <v>1244</v>
      </c>
      <c r="M268" s="21" t="s">
        <v>1253</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1246</v>
      </c>
      <c r="L269" s="29" t="s">
        <v>1244</v>
      </c>
      <c r="M269" s="21" t="s">
        <v>1253</v>
      </c>
      <c r="N269" s="48">
        <v>45485</v>
      </c>
      <c r="O269" s="21">
        <f>INDEX(Auxiliar!$D$5:$F$13,MATCH(Table1[[#This Row],[Tipologia_Testes]],Auxiliar!$B$5:$B$13,0),MATCH(Table1[[#This Row],[Complexidade]],Auxiliar!$D$4:$F$4,0))</f>
        <v>2</v>
      </c>
      <c r="P269" s="2" t="s">
        <v>1270</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1247</v>
      </c>
      <c r="L270" s="29" t="s">
        <v>1244</v>
      </c>
      <c r="M270" s="21" t="s">
        <v>1253</v>
      </c>
      <c r="N270" s="48">
        <v>45485</v>
      </c>
      <c r="O270" s="21">
        <f>INDEX(Auxiliar!$D$5:$F$13,MATCH(Table1[[#This Row],[Tipologia_Testes]],Auxiliar!$B$5:$B$13,0),MATCH(Table1[[#This Row],[Complexidade]],Auxiliar!$D$4:$F$4,0))</f>
        <v>2</v>
      </c>
      <c r="P270" s="2" t="s">
        <v>1270</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1249</v>
      </c>
      <c r="L271" s="29" t="s">
        <v>1244</v>
      </c>
      <c r="M271" s="21" t="s">
        <v>1253</v>
      </c>
      <c r="N271" s="48">
        <v>45485</v>
      </c>
      <c r="O271" s="21">
        <f>INDEX(Auxiliar!$D$5:$F$13,MATCH(Table1[[#This Row],[Tipologia_Testes]],Auxiliar!$B$5:$B$13,0),MATCH(Table1[[#This Row],[Complexidade]],Auxiliar!$D$4:$F$4,0))</f>
        <v>0.1</v>
      </c>
      <c r="P271" s="2" t="s">
        <v>1270</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1246</v>
      </c>
      <c r="L272" s="29" t="s">
        <v>1244</v>
      </c>
      <c r="M272" s="21" t="s">
        <v>1253</v>
      </c>
      <c r="N272" s="48">
        <v>45485</v>
      </c>
      <c r="O272" s="21">
        <f>INDEX(Auxiliar!$D$5:$F$13,MATCH(Table1[[#This Row],[Tipologia_Testes]],Auxiliar!$B$5:$B$13,0),MATCH(Table1[[#This Row],[Complexidade]],Auxiliar!$D$4:$F$4,0))</f>
        <v>2</v>
      </c>
      <c r="P272" s="2" t="s">
        <v>1270</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1247</v>
      </c>
      <c r="L273" s="29" t="s">
        <v>1244</v>
      </c>
      <c r="M273" s="21" t="s">
        <v>1253</v>
      </c>
      <c r="N273" s="48">
        <v>45485</v>
      </c>
      <c r="O273" s="21">
        <f>INDEX(Auxiliar!$D$5:$F$13,MATCH(Table1[[#This Row],[Tipologia_Testes]],Auxiliar!$B$5:$B$13,0),MATCH(Table1[[#This Row],[Complexidade]],Auxiliar!$D$4:$F$4,0))</f>
        <v>2</v>
      </c>
      <c r="P273" s="2" t="s">
        <v>1270</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1249</v>
      </c>
      <c r="L274" s="29" t="s">
        <v>1244</v>
      </c>
      <c r="M274" s="21" t="s">
        <v>1253</v>
      </c>
      <c r="N274" s="48">
        <v>45485</v>
      </c>
      <c r="O274" s="21">
        <f>INDEX(Auxiliar!$D$5:$F$13,MATCH(Table1[[#This Row],[Tipologia_Testes]],Auxiliar!$B$5:$B$13,0),MATCH(Table1[[#This Row],[Complexidade]],Auxiliar!$D$4:$F$4,0))</f>
        <v>0.1</v>
      </c>
      <c r="P274" s="2" t="s">
        <v>1270</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1246</v>
      </c>
      <c r="L275" s="29" t="s">
        <v>1244</v>
      </c>
      <c r="M275" s="21" t="s">
        <v>1253</v>
      </c>
      <c r="N275" s="48">
        <v>45485</v>
      </c>
      <c r="O275" s="21">
        <f>INDEX(Auxiliar!$D$5:$F$13,MATCH(Table1[[#This Row],[Tipologia_Testes]],Auxiliar!$B$5:$B$13,0),MATCH(Table1[[#This Row],[Complexidade]],Auxiliar!$D$4:$F$4,0))</f>
        <v>2</v>
      </c>
      <c r="P275" s="2" t="s">
        <v>1270</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1247</v>
      </c>
      <c r="L276" s="29" t="s">
        <v>1244</v>
      </c>
      <c r="M276" s="21" t="s">
        <v>1253</v>
      </c>
      <c r="N276" s="48">
        <v>45485</v>
      </c>
      <c r="O276" s="21">
        <f>INDEX(Auxiliar!$D$5:$F$13,MATCH(Table1[[#This Row],[Tipologia_Testes]],Auxiliar!$B$5:$B$13,0),MATCH(Table1[[#This Row],[Complexidade]],Auxiliar!$D$4:$F$4,0))</f>
        <v>2</v>
      </c>
      <c r="P276" s="2" t="s">
        <v>1270</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1249</v>
      </c>
      <c r="L277" s="29" t="s">
        <v>1244</v>
      </c>
      <c r="M277" s="21" t="s">
        <v>1253</v>
      </c>
      <c r="N277" s="48">
        <v>45485</v>
      </c>
      <c r="O277" s="21">
        <f>INDEX(Auxiliar!$D$5:$F$13,MATCH(Table1[[#This Row],[Tipologia_Testes]],Auxiliar!$B$5:$B$13,0),MATCH(Table1[[#This Row],[Complexidade]],Auxiliar!$D$4:$F$4,0))</f>
        <v>0.1</v>
      </c>
      <c r="P277" s="2" t="s">
        <v>1270</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1246</v>
      </c>
      <c r="L278" s="29" t="s">
        <v>1244</v>
      </c>
      <c r="M278" s="21" t="s">
        <v>1253</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1247</v>
      </c>
      <c r="L279" s="29" t="s">
        <v>1244</v>
      </c>
      <c r="M279" s="21" t="s">
        <v>1253</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1249</v>
      </c>
      <c r="L280" s="29" t="s">
        <v>1244</v>
      </c>
      <c r="M280" s="21" t="s">
        <v>1253</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1246</v>
      </c>
      <c r="L281" s="29" t="s">
        <v>1244</v>
      </c>
      <c r="M281" s="21" t="s">
        <v>1253</v>
      </c>
      <c r="N281" s="48">
        <v>45485</v>
      </c>
      <c r="O281" s="21">
        <f>INDEX(Auxiliar!$D$5:$F$13,MATCH(Table1[[#This Row],[Tipologia_Testes]],Auxiliar!$B$5:$B$13,0),MATCH(Table1[[#This Row],[Complexidade]],Auxiliar!$D$4:$F$4,0))</f>
        <v>2</v>
      </c>
      <c r="P281" s="2" t="s">
        <v>1270</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1247</v>
      </c>
      <c r="L282" s="29" t="s">
        <v>1244</v>
      </c>
      <c r="M282" s="21" t="s">
        <v>1253</v>
      </c>
      <c r="N282" s="48">
        <v>45485</v>
      </c>
      <c r="O282" s="21">
        <f>INDEX(Auxiliar!$D$5:$F$13,MATCH(Table1[[#This Row],[Tipologia_Testes]],Auxiliar!$B$5:$B$13,0),MATCH(Table1[[#This Row],[Complexidade]],Auxiliar!$D$4:$F$4,0))</f>
        <v>2</v>
      </c>
      <c r="P282" s="2" t="s">
        <v>1270</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1249</v>
      </c>
      <c r="L283" s="29" t="s">
        <v>1244</v>
      </c>
      <c r="M283" s="21" t="s">
        <v>1253</v>
      </c>
      <c r="N283" s="48">
        <v>45485</v>
      </c>
      <c r="O283" s="21">
        <f>INDEX(Auxiliar!$D$5:$F$13,MATCH(Table1[[#This Row],[Tipologia_Testes]],Auxiliar!$B$5:$B$13,0),MATCH(Table1[[#This Row],[Complexidade]],Auxiliar!$D$4:$F$4,0))</f>
        <v>0.1</v>
      </c>
      <c r="P283" s="2" t="s">
        <v>1270</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1246</v>
      </c>
      <c r="L284" s="29" t="s">
        <v>1244</v>
      </c>
      <c r="M284" s="21" t="s">
        <v>1253</v>
      </c>
      <c r="N284" s="48">
        <v>45485</v>
      </c>
      <c r="O284" s="21">
        <f>INDEX(Auxiliar!$D$5:$F$13,MATCH(Table1[[#This Row],[Tipologia_Testes]],Auxiliar!$B$5:$B$13,0),MATCH(Table1[[#This Row],[Complexidade]],Auxiliar!$D$4:$F$4,0))</f>
        <v>2</v>
      </c>
      <c r="P284" s="2" t="s">
        <v>1270</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1247</v>
      </c>
      <c r="L285" s="29" t="s">
        <v>1244</v>
      </c>
      <c r="M285" s="21" t="s">
        <v>1253</v>
      </c>
      <c r="N285" s="48">
        <v>45485</v>
      </c>
      <c r="O285" s="21">
        <f>INDEX(Auxiliar!$D$5:$F$13,MATCH(Table1[[#This Row],[Tipologia_Testes]],Auxiliar!$B$5:$B$13,0),MATCH(Table1[[#This Row],[Complexidade]],Auxiliar!$D$4:$F$4,0))</f>
        <v>2</v>
      </c>
      <c r="P285" s="2" t="s">
        <v>1270</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1249</v>
      </c>
      <c r="L286" s="29" t="s">
        <v>1244</v>
      </c>
      <c r="M286" s="21" t="s">
        <v>1253</v>
      </c>
      <c r="N286" s="48">
        <v>45485</v>
      </c>
      <c r="O286" s="21">
        <f>INDEX(Auxiliar!$D$5:$F$13,MATCH(Table1[[#This Row],[Tipologia_Testes]],Auxiliar!$B$5:$B$13,0),MATCH(Table1[[#This Row],[Complexidade]],Auxiliar!$D$4:$F$4,0))</f>
        <v>0.1</v>
      </c>
      <c r="P286" s="2" t="s">
        <v>1270</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1246</v>
      </c>
      <c r="L287" s="29" t="s">
        <v>1244</v>
      </c>
      <c r="M287" s="21" t="s">
        <v>1253</v>
      </c>
      <c r="N287" s="48">
        <v>45485</v>
      </c>
      <c r="O287" s="21">
        <f>INDEX(Auxiliar!$D$5:$F$13,MATCH(Table1[[#This Row],[Tipologia_Testes]],Auxiliar!$B$5:$B$13,0),MATCH(Table1[[#This Row],[Complexidade]],Auxiliar!$D$4:$F$4,0))</f>
        <v>2</v>
      </c>
      <c r="P287" s="2" t="s">
        <v>1270</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1247</v>
      </c>
      <c r="L288" s="29" t="s">
        <v>1244</v>
      </c>
      <c r="M288" s="21" t="s">
        <v>1253</v>
      </c>
      <c r="N288" s="48">
        <v>45485</v>
      </c>
      <c r="O288" s="21">
        <f>INDEX(Auxiliar!$D$5:$F$13,MATCH(Table1[[#This Row],[Tipologia_Testes]],Auxiliar!$B$5:$B$13,0),MATCH(Table1[[#This Row],[Complexidade]],Auxiliar!$D$4:$F$4,0))</f>
        <v>2</v>
      </c>
      <c r="P288" s="2" t="s">
        <v>1270</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1249</v>
      </c>
      <c r="L289" s="29" t="s">
        <v>1244</v>
      </c>
      <c r="M289" s="21" t="s">
        <v>1253</v>
      </c>
      <c r="N289" s="48">
        <v>45485</v>
      </c>
      <c r="O289" s="21">
        <f>INDEX(Auxiliar!$D$5:$F$13,MATCH(Table1[[#This Row],[Tipologia_Testes]],Auxiliar!$B$5:$B$13,0),MATCH(Table1[[#This Row],[Complexidade]],Auxiliar!$D$4:$F$4,0))</f>
        <v>0.1</v>
      </c>
      <c r="P289" s="2" t="s">
        <v>1270</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1246</v>
      </c>
      <c r="L290" s="29" t="s">
        <v>1244</v>
      </c>
      <c r="M290" s="21" t="s">
        <v>1253</v>
      </c>
      <c r="N290" s="48">
        <v>45485</v>
      </c>
      <c r="O290" s="21">
        <f>INDEX(Auxiliar!$D$5:$F$13,MATCH(Table1[[#This Row],[Tipologia_Testes]],Auxiliar!$B$5:$B$13,0),MATCH(Table1[[#This Row],[Complexidade]],Auxiliar!$D$4:$F$4,0))</f>
        <v>2</v>
      </c>
      <c r="P290" s="2" t="s">
        <v>1270</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1247</v>
      </c>
      <c r="L291" s="29" t="s">
        <v>1244</v>
      </c>
      <c r="M291" s="21" t="s">
        <v>1253</v>
      </c>
      <c r="N291" s="48">
        <v>45485</v>
      </c>
      <c r="O291" s="21">
        <f>INDEX(Auxiliar!$D$5:$F$13,MATCH(Table1[[#This Row],[Tipologia_Testes]],Auxiliar!$B$5:$B$13,0),MATCH(Table1[[#This Row],[Complexidade]],Auxiliar!$D$4:$F$4,0))</f>
        <v>2</v>
      </c>
      <c r="P291" s="2" t="s">
        <v>1270</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1249</v>
      </c>
      <c r="L292" s="29" t="s">
        <v>1244</v>
      </c>
      <c r="M292" s="21" t="s">
        <v>1253</v>
      </c>
      <c r="N292" s="48">
        <v>45485</v>
      </c>
      <c r="O292" s="21">
        <f>INDEX(Auxiliar!$D$5:$F$13,MATCH(Table1[[#This Row],[Tipologia_Testes]],Auxiliar!$B$5:$B$13,0),MATCH(Table1[[#This Row],[Complexidade]],Auxiliar!$D$4:$F$4,0))</f>
        <v>0.1</v>
      </c>
      <c r="P292" s="2" t="s">
        <v>1270</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1246</v>
      </c>
      <c r="L293" s="29" t="s">
        <v>1244</v>
      </c>
      <c r="M293" s="21" t="s">
        <v>1253</v>
      </c>
      <c r="N293" s="48">
        <v>45485</v>
      </c>
      <c r="O293" s="21">
        <f>INDEX(Auxiliar!$D$5:$F$13,MATCH(Table1[[#This Row],[Tipologia_Testes]],Auxiliar!$B$5:$B$13,0),MATCH(Table1[[#This Row],[Complexidade]],Auxiliar!$D$4:$F$4,0))</f>
        <v>2</v>
      </c>
      <c r="P293" s="2" t="s">
        <v>1270</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1247</v>
      </c>
      <c r="L294" s="29" t="s">
        <v>1244</v>
      </c>
      <c r="M294" s="21" t="s">
        <v>1253</v>
      </c>
      <c r="N294" s="48">
        <v>45485</v>
      </c>
      <c r="O294" s="21">
        <f>INDEX(Auxiliar!$D$5:$F$13,MATCH(Table1[[#This Row],[Tipologia_Testes]],Auxiliar!$B$5:$B$13,0),MATCH(Table1[[#This Row],[Complexidade]],Auxiliar!$D$4:$F$4,0))</f>
        <v>2</v>
      </c>
      <c r="P294" s="2" t="s">
        <v>1270</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1249</v>
      </c>
      <c r="L295" s="29" t="s">
        <v>1244</v>
      </c>
      <c r="M295" s="21" t="s">
        <v>1253</v>
      </c>
      <c r="N295" s="48">
        <v>45485</v>
      </c>
      <c r="O295" s="21">
        <f>INDEX(Auxiliar!$D$5:$F$13,MATCH(Table1[[#This Row],[Tipologia_Testes]],Auxiliar!$B$5:$B$13,0),MATCH(Table1[[#This Row],[Complexidade]],Auxiliar!$D$4:$F$4,0))</f>
        <v>0.1</v>
      </c>
      <c r="P295" s="2" t="s">
        <v>1270</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1246</v>
      </c>
      <c r="L296" s="29" t="s">
        <v>1244</v>
      </c>
      <c r="M296" s="21" t="s">
        <v>1253</v>
      </c>
      <c r="N296" s="48">
        <v>45485</v>
      </c>
      <c r="O296" s="21">
        <f>INDEX(Auxiliar!$D$5:$F$13,MATCH(Table1[[#This Row],[Tipologia_Testes]],Auxiliar!$B$5:$B$13,0),MATCH(Table1[[#This Row],[Complexidade]],Auxiliar!$D$4:$F$4,0))</f>
        <v>2</v>
      </c>
      <c r="P296" s="2" t="s">
        <v>1270</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1247</v>
      </c>
      <c r="L297" s="29" t="s">
        <v>1244</v>
      </c>
      <c r="M297" s="21" t="s">
        <v>1253</v>
      </c>
      <c r="N297" s="48">
        <v>45485</v>
      </c>
      <c r="O297" s="21">
        <f>INDEX(Auxiliar!$D$5:$F$13,MATCH(Table1[[#This Row],[Tipologia_Testes]],Auxiliar!$B$5:$B$13,0),MATCH(Table1[[#This Row],[Complexidade]],Auxiliar!$D$4:$F$4,0))</f>
        <v>2</v>
      </c>
      <c r="P297" s="2" t="s">
        <v>1270</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1249</v>
      </c>
      <c r="L298" s="29" t="s">
        <v>1244</v>
      </c>
      <c r="M298" s="21" t="s">
        <v>1253</v>
      </c>
      <c r="N298" s="48">
        <v>45485</v>
      </c>
      <c r="O298" s="21">
        <f>INDEX(Auxiliar!$D$5:$F$13,MATCH(Table1[[#This Row],[Tipologia_Testes]],Auxiliar!$B$5:$B$13,0),MATCH(Table1[[#This Row],[Complexidade]],Auxiliar!$D$4:$F$4,0))</f>
        <v>0.1</v>
      </c>
      <c r="P298" s="2" t="s">
        <v>1270</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1246</v>
      </c>
      <c r="L299" s="29" t="s">
        <v>1244</v>
      </c>
      <c r="M299" s="21" t="s">
        <v>1253</v>
      </c>
      <c r="N299" s="48">
        <v>45485</v>
      </c>
      <c r="O299" s="21">
        <f>INDEX(Auxiliar!$D$5:$F$13,MATCH(Table1[[#This Row],[Tipologia_Testes]],Auxiliar!$B$5:$B$13,0),MATCH(Table1[[#This Row],[Complexidade]],Auxiliar!$D$4:$F$4,0))</f>
        <v>2</v>
      </c>
      <c r="P299" s="2" t="s">
        <v>1270</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1247</v>
      </c>
      <c r="L300" s="29" t="s">
        <v>1244</v>
      </c>
      <c r="M300" s="21" t="s">
        <v>1253</v>
      </c>
      <c r="N300" s="48">
        <v>45485</v>
      </c>
      <c r="O300" s="21">
        <f>INDEX(Auxiliar!$D$5:$F$13,MATCH(Table1[[#This Row],[Tipologia_Testes]],Auxiliar!$B$5:$B$13,0),MATCH(Table1[[#This Row],[Complexidade]],Auxiliar!$D$4:$F$4,0))</f>
        <v>2</v>
      </c>
      <c r="P300" s="2" t="s">
        <v>1270</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1249</v>
      </c>
      <c r="L301" s="29" t="s">
        <v>1244</v>
      </c>
      <c r="M301" s="21" t="s">
        <v>1253</v>
      </c>
      <c r="N301" s="48">
        <v>45485</v>
      </c>
      <c r="O301" s="21">
        <f>INDEX(Auxiliar!$D$5:$F$13,MATCH(Table1[[#This Row],[Tipologia_Testes]],Auxiliar!$B$5:$B$13,0),MATCH(Table1[[#This Row],[Complexidade]],Auxiliar!$D$4:$F$4,0))</f>
        <v>0.1</v>
      </c>
      <c r="P301" s="2" t="s">
        <v>1270</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1246</v>
      </c>
      <c r="L302" s="29" t="s">
        <v>1244</v>
      </c>
      <c r="M302" s="21" t="s">
        <v>1253</v>
      </c>
      <c r="N302" s="48">
        <v>45485</v>
      </c>
      <c r="O302" s="21">
        <f>INDEX(Auxiliar!$D$5:$F$13,MATCH(Table1[[#This Row],[Tipologia_Testes]],Auxiliar!$B$5:$B$13,0),MATCH(Table1[[#This Row],[Complexidade]],Auxiliar!$D$4:$F$4,0))</f>
        <v>2</v>
      </c>
      <c r="P302" s="2" t="s">
        <v>1270</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1247</v>
      </c>
      <c r="L303" s="29" t="s">
        <v>1244</v>
      </c>
      <c r="M303" s="21" t="s">
        <v>1253</v>
      </c>
      <c r="N303" s="48">
        <v>45485</v>
      </c>
      <c r="O303" s="21">
        <f>INDEX(Auxiliar!$D$5:$F$13,MATCH(Table1[[#This Row],[Tipologia_Testes]],Auxiliar!$B$5:$B$13,0),MATCH(Table1[[#This Row],[Complexidade]],Auxiliar!$D$4:$F$4,0))</f>
        <v>2</v>
      </c>
      <c r="P303" s="2" t="s">
        <v>1270</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1249</v>
      </c>
      <c r="L304" s="29" t="s">
        <v>1244</v>
      </c>
      <c r="M304" s="21" t="s">
        <v>1253</v>
      </c>
      <c r="N304" s="48">
        <v>45485</v>
      </c>
      <c r="O304" s="21">
        <f>INDEX(Auxiliar!$D$5:$F$13,MATCH(Table1[[#This Row],[Tipologia_Testes]],Auxiliar!$B$5:$B$13,0),MATCH(Table1[[#This Row],[Complexidade]],Auxiliar!$D$4:$F$4,0))</f>
        <v>0.1</v>
      </c>
      <c r="P304" s="2" t="s">
        <v>1270</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1246</v>
      </c>
      <c r="L305" s="29" t="s">
        <v>1244</v>
      </c>
      <c r="M305" s="21" t="s">
        <v>1253</v>
      </c>
      <c r="N305" s="48">
        <v>45485</v>
      </c>
      <c r="O305" s="21">
        <f>INDEX(Auxiliar!$D$5:$F$13,MATCH(Table1[[#This Row],[Tipologia_Testes]],Auxiliar!$B$5:$B$13,0),MATCH(Table1[[#This Row],[Complexidade]],Auxiliar!$D$4:$F$4,0))</f>
        <v>2</v>
      </c>
      <c r="P305" s="2" t="s">
        <v>1270</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1247</v>
      </c>
      <c r="L306" s="29" t="s">
        <v>1244</v>
      </c>
      <c r="M306" s="21" t="s">
        <v>1253</v>
      </c>
      <c r="N306" s="48">
        <v>45485</v>
      </c>
      <c r="O306" s="21">
        <f>INDEX(Auxiliar!$D$5:$F$13,MATCH(Table1[[#This Row],[Tipologia_Testes]],Auxiliar!$B$5:$B$13,0),MATCH(Table1[[#This Row],[Complexidade]],Auxiliar!$D$4:$F$4,0))</f>
        <v>2</v>
      </c>
      <c r="P306" s="2" t="s">
        <v>1270</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1249</v>
      </c>
      <c r="L307" s="29" t="s">
        <v>1244</v>
      </c>
      <c r="M307" s="21" t="s">
        <v>1253</v>
      </c>
      <c r="N307" s="48">
        <v>45485</v>
      </c>
      <c r="O307" s="21">
        <f>INDEX(Auxiliar!$D$5:$F$13,MATCH(Table1[[#This Row],[Tipologia_Testes]],Auxiliar!$B$5:$B$13,0),MATCH(Table1[[#This Row],[Complexidade]],Auxiliar!$D$4:$F$4,0))</f>
        <v>0.1</v>
      </c>
      <c r="P307" s="2" t="s">
        <v>1270</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1246</v>
      </c>
      <c r="L308" s="29" t="s">
        <v>1244</v>
      </c>
      <c r="M308" s="21" t="s">
        <v>1253</v>
      </c>
      <c r="N308" s="48">
        <v>45485</v>
      </c>
      <c r="O308" s="21">
        <f>INDEX(Auxiliar!$D$5:$F$13,MATCH(Table1[[#This Row],[Tipologia_Testes]],Auxiliar!$B$5:$B$13,0),MATCH(Table1[[#This Row],[Complexidade]],Auxiliar!$D$4:$F$4,0))</f>
        <v>2</v>
      </c>
      <c r="P308" s="2" t="s">
        <v>1270</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1247</v>
      </c>
      <c r="L309" s="29" t="s">
        <v>1244</v>
      </c>
      <c r="M309" s="21" t="s">
        <v>1253</v>
      </c>
      <c r="N309" s="48">
        <v>45485</v>
      </c>
      <c r="O309" s="21">
        <f>INDEX(Auxiliar!$D$5:$F$13,MATCH(Table1[[#This Row],[Tipologia_Testes]],Auxiliar!$B$5:$B$13,0),MATCH(Table1[[#This Row],[Complexidade]],Auxiliar!$D$4:$F$4,0))</f>
        <v>2</v>
      </c>
      <c r="P309" s="2" t="s">
        <v>1270</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1249</v>
      </c>
      <c r="L310" s="29" t="s">
        <v>1244</v>
      </c>
      <c r="M310" s="21" t="s">
        <v>1253</v>
      </c>
      <c r="N310" s="48">
        <v>45485</v>
      </c>
      <c r="O310" s="21">
        <f>INDEX(Auxiliar!$D$5:$F$13,MATCH(Table1[[#This Row],[Tipologia_Testes]],Auxiliar!$B$5:$B$13,0),MATCH(Table1[[#This Row],[Complexidade]],Auxiliar!$D$4:$F$4,0))</f>
        <v>0.1</v>
      </c>
      <c r="P310" s="2" t="s">
        <v>1270</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1246</v>
      </c>
      <c r="L311" s="29" t="s">
        <v>1244</v>
      </c>
      <c r="M311" s="21" t="s">
        <v>1253</v>
      </c>
      <c r="N311" s="48">
        <v>45485</v>
      </c>
      <c r="O311" s="21">
        <f>INDEX(Auxiliar!$D$5:$F$13,MATCH(Table1[[#This Row],[Tipologia_Testes]],Auxiliar!$B$5:$B$13,0),MATCH(Table1[[#This Row],[Complexidade]],Auxiliar!$D$4:$F$4,0))</f>
        <v>2</v>
      </c>
      <c r="P311" s="2" t="s">
        <v>1270</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1247</v>
      </c>
      <c r="L312" s="29" t="s">
        <v>1244</v>
      </c>
      <c r="M312" s="21" t="s">
        <v>1253</v>
      </c>
      <c r="N312" s="48">
        <v>45485</v>
      </c>
      <c r="O312" s="21">
        <f>INDEX(Auxiliar!$D$5:$F$13,MATCH(Table1[[#This Row],[Tipologia_Testes]],Auxiliar!$B$5:$B$13,0),MATCH(Table1[[#This Row],[Complexidade]],Auxiliar!$D$4:$F$4,0))</f>
        <v>2</v>
      </c>
      <c r="P312" s="2" t="s">
        <v>1270</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1249</v>
      </c>
      <c r="L313" s="29" t="s">
        <v>1244</v>
      </c>
      <c r="M313" s="21" t="s">
        <v>1253</v>
      </c>
      <c r="N313" s="48">
        <v>45485</v>
      </c>
      <c r="O313" s="21">
        <f>INDEX(Auxiliar!$D$5:$F$13,MATCH(Table1[[#This Row],[Tipologia_Testes]],Auxiliar!$B$5:$B$13,0),MATCH(Table1[[#This Row],[Complexidade]],Auxiliar!$D$4:$F$4,0))</f>
        <v>0.1</v>
      </c>
      <c r="P313" s="2" t="s">
        <v>1270</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1246</v>
      </c>
      <c r="L314" s="29" t="s">
        <v>1244</v>
      </c>
      <c r="M314" s="21" t="s">
        <v>1253</v>
      </c>
      <c r="N314" s="48">
        <v>45485</v>
      </c>
      <c r="O314" s="21">
        <f>INDEX(Auxiliar!$D$5:$F$13,MATCH(Table1[[#This Row],[Tipologia_Testes]],Auxiliar!$B$5:$B$13,0),MATCH(Table1[[#This Row],[Complexidade]],Auxiliar!$D$4:$F$4,0))</f>
        <v>2</v>
      </c>
      <c r="P314" s="2" t="s">
        <v>1270</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1247</v>
      </c>
      <c r="L315" s="29" t="s">
        <v>1244</v>
      </c>
      <c r="M315" s="21" t="s">
        <v>1253</v>
      </c>
      <c r="N315" s="48">
        <v>45485</v>
      </c>
      <c r="O315" s="21">
        <f>INDEX(Auxiliar!$D$5:$F$13,MATCH(Table1[[#This Row],[Tipologia_Testes]],Auxiliar!$B$5:$B$13,0),MATCH(Table1[[#This Row],[Complexidade]],Auxiliar!$D$4:$F$4,0))</f>
        <v>2</v>
      </c>
      <c r="P315" s="2" t="s">
        <v>1270</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1249</v>
      </c>
      <c r="L316" s="29" t="s">
        <v>1244</v>
      </c>
      <c r="M316" s="21" t="s">
        <v>1253</v>
      </c>
      <c r="N316" s="48">
        <v>45485</v>
      </c>
      <c r="O316" s="21">
        <f>INDEX(Auxiliar!$D$5:$F$13,MATCH(Table1[[#This Row],[Tipologia_Testes]],Auxiliar!$B$5:$B$13,0),MATCH(Table1[[#This Row],[Complexidade]],Auxiliar!$D$4:$F$4,0))</f>
        <v>0.1</v>
      </c>
      <c r="P316" s="2" t="s">
        <v>1270</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1246</v>
      </c>
      <c r="L317" s="29" t="s">
        <v>1244</v>
      </c>
      <c r="M317" s="21" t="s">
        <v>1253</v>
      </c>
      <c r="N317" s="48">
        <v>45485</v>
      </c>
      <c r="O317" s="21">
        <f>INDEX(Auxiliar!$D$5:$F$13,MATCH(Table1[[#This Row],[Tipologia_Testes]],Auxiliar!$B$5:$B$13,0),MATCH(Table1[[#This Row],[Complexidade]],Auxiliar!$D$4:$F$4,0))</f>
        <v>2</v>
      </c>
      <c r="P317" s="2" t="s">
        <v>1270</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1247</v>
      </c>
      <c r="L318" s="29" t="s">
        <v>1244</v>
      </c>
      <c r="M318" s="21" t="s">
        <v>1253</v>
      </c>
      <c r="N318" s="48">
        <v>45485</v>
      </c>
      <c r="O318" s="21">
        <f>INDEX(Auxiliar!$D$5:$F$13,MATCH(Table1[[#This Row],[Tipologia_Testes]],Auxiliar!$B$5:$B$13,0),MATCH(Table1[[#This Row],[Complexidade]],Auxiliar!$D$4:$F$4,0))</f>
        <v>2</v>
      </c>
      <c r="P318" s="2" t="s">
        <v>1270</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1249</v>
      </c>
      <c r="L319" s="29" t="s">
        <v>1244</v>
      </c>
      <c r="M319" s="21" t="s">
        <v>1253</v>
      </c>
      <c r="N319" s="48">
        <v>45485</v>
      </c>
      <c r="O319" s="21">
        <f>INDEX(Auxiliar!$D$5:$F$13,MATCH(Table1[[#This Row],[Tipologia_Testes]],Auxiliar!$B$5:$B$13,0),MATCH(Table1[[#This Row],[Complexidade]],Auxiliar!$D$4:$F$4,0))</f>
        <v>0.1</v>
      </c>
      <c r="P319" s="2" t="s">
        <v>1270</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1246</v>
      </c>
      <c r="L320" s="29" t="s">
        <v>1244</v>
      </c>
      <c r="M320" s="21" t="s">
        <v>1253</v>
      </c>
      <c r="N320" s="48">
        <v>45485</v>
      </c>
      <c r="O320" s="21">
        <f>INDEX(Auxiliar!$D$5:$F$13,MATCH(Table1[[#This Row],[Tipologia_Testes]],Auxiliar!$B$5:$B$13,0),MATCH(Table1[[#This Row],[Complexidade]],Auxiliar!$D$4:$F$4,0))</f>
        <v>2</v>
      </c>
      <c r="P320" s="2" t="s">
        <v>1270</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1247</v>
      </c>
      <c r="L321" s="29" t="s">
        <v>1244</v>
      </c>
      <c r="M321" s="21" t="s">
        <v>1253</v>
      </c>
      <c r="N321" s="48">
        <v>45485</v>
      </c>
      <c r="O321" s="21">
        <f>INDEX(Auxiliar!$D$5:$F$13,MATCH(Table1[[#This Row],[Tipologia_Testes]],Auxiliar!$B$5:$B$13,0),MATCH(Table1[[#This Row],[Complexidade]],Auxiliar!$D$4:$F$4,0))</f>
        <v>2</v>
      </c>
      <c r="P321" s="2" t="s">
        <v>1270</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1249</v>
      </c>
      <c r="L322" s="29" t="s">
        <v>1244</v>
      </c>
      <c r="M322" s="21" t="s">
        <v>1253</v>
      </c>
      <c r="N322" s="48">
        <v>45485</v>
      </c>
      <c r="O322" s="21">
        <f>INDEX(Auxiliar!$D$5:$F$13,MATCH(Table1[[#This Row],[Tipologia_Testes]],Auxiliar!$B$5:$B$13,0),MATCH(Table1[[#This Row],[Complexidade]],Auxiliar!$D$4:$F$4,0))</f>
        <v>0.1</v>
      </c>
      <c r="P322" s="2" t="s">
        <v>1270</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1246</v>
      </c>
      <c r="L323" s="29" t="s">
        <v>1244</v>
      </c>
      <c r="M323" s="21" t="s">
        <v>1253</v>
      </c>
      <c r="N323" s="48">
        <v>45485</v>
      </c>
      <c r="O323" s="21">
        <f>INDEX(Auxiliar!$D$5:$F$13,MATCH(Table1[[#This Row],[Tipologia_Testes]],Auxiliar!$B$5:$B$13,0),MATCH(Table1[[#This Row],[Complexidade]],Auxiliar!$D$4:$F$4,0))</f>
        <v>2</v>
      </c>
      <c r="P323" s="2" t="s">
        <v>1270</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1247</v>
      </c>
      <c r="L324" s="29" t="s">
        <v>1244</v>
      </c>
      <c r="M324" s="21" t="s">
        <v>1253</v>
      </c>
      <c r="N324" s="48">
        <v>45485</v>
      </c>
      <c r="O324" s="21">
        <f>INDEX(Auxiliar!$D$5:$F$13,MATCH(Table1[[#This Row],[Tipologia_Testes]],Auxiliar!$B$5:$B$13,0),MATCH(Table1[[#This Row],[Complexidade]],Auxiliar!$D$4:$F$4,0))</f>
        <v>2</v>
      </c>
      <c r="P324" s="2" t="s">
        <v>1270</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1249</v>
      </c>
      <c r="L325" s="29" t="s">
        <v>1244</v>
      </c>
      <c r="M325" s="21" t="s">
        <v>1253</v>
      </c>
      <c r="N325" s="48">
        <v>45485</v>
      </c>
      <c r="O325" s="21">
        <f>INDEX(Auxiliar!$D$5:$F$13,MATCH(Table1[[#This Row],[Tipologia_Testes]],Auxiliar!$B$5:$B$13,0),MATCH(Table1[[#This Row],[Complexidade]],Auxiliar!$D$4:$F$4,0))</f>
        <v>0.1</v>
      </c>
      <c r="P325" s="2" t="s">
        <v>1270</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1246</v>
      </c>
      <c r="L326" s="29" t="s">
        <v>1244</v>
      </c>
      <c r="M326" s="21" t="s">
        <v>1253</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1247</v>
      </c>
      <c r="L327" s="29" t="s">
        <v>1244</v>
      </c>
      <c r="M327" s="21" t="s">
        <v>1253</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1249</v>
      </c>
      <c r="L328" s="29" t="s">
        <v>1244</v>
      </c>
      <c r="M328" s="21" t="s">
        <v>1253</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1246</v>
      </c>
      <c r="L329" s="29" t="s">
        <v>1244</v>
      </c>
      <c r="M329" s="21" t="s">
        <v>1253</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1247</v>
      </c>
      <c r="L330" s="29" t="s">
        <v>1244</v>
      </c>
      <c r="M330" s="21" t="s">
        <v>1253</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1249</v>
      </c>
      <c r="L331" s="29" t="s">
        <v>1244</v>
      </c>
      <c r="M331" s="21" t="s">
        <v>1253</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1246</v>
      </c>
      <c r="L332" s="29" t="s">
        <v>1244</v>
      </c>
      <c r="M332" s="21" t="s">
        <v>1253</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1247</v>
      </c>
      <c r="L333" s="29" t="s">
        <v>1244</v>
      </c>
      <c r="M333" s="21" t="s">
        <v>1253</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1249</v>
      </c>
      <c r="L334" s="29" t="s">
        <v>1244</v>
      </c>
      <c r="M334" s="21" t="s">
        <v>1253</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1246</v>
      </c>
      <c r="L335" s="29" t="s">
        <v>1244</v>
      </c>
      <c r="M335" s="21" t="s">
        <v>1253</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1247</v>
      </c>
      <c r="L336" s="29" t="s">
        <v>1244</v>
      </c>
      <c r="M336" s="21" t="s">
        <v>1253</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1249</v>
      </c>
      <c r="L337" s="29" t="s">
        <v>1244</v>
      </c>
      <c r="M337" s="21" t="s">
        <v>1253</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1246</v>
      </c>
      <c r="L338" s="29" t="s">
        <v>1244</v>
      </c>
      <c r="M338" s="21" t="s">
        <v>1253</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1247</v>
      </c>
      <c r="L339" s="29" t="s">
        <v>1244</v>
      </c>
      <c r="M339" s="21" t="s">
        <v>1253</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1249</v>
      </c>
      <c r="L340" s="29" t="s">
        <v>1244</v>
      </c>
      <c r="M340" s="21" t="s">
        <v>1253</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1246</v>
      </c>
      <c r="L341" s="29" t="s">
        <v>1244</v>
      </c>
      <c r="M341" s="21" t="s">
        <v>1253</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1247</v>
      </c>
      <c r="L342" s="29" t="s">
        <v>1244</v>
      </c>
      <c r="M342" s="21" t="s">
        <v>1253</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1249</v>
      </c>
      <c r="L343" s="29" t="s">
        <v>1244</v>
      </c>
      <c r="M343" s="21" t="s">
        <v>1253</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1246</v>
      </c>
      <c r="L344" s="29" t="s">
        <v>1244</v>
      </c>
      <c r="M344" s="21" t="s">
        <v>1253</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1247</v>
      </c>
      <c r="L345" s="29" t="s">
        <v>1244</v>
      </c>
      <c r="M345" s="21" t="s">
        <v>1253</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1249</v>
      </c>
      <c r="L346" s="29" t="s">
        <v>1244</v>
      </c>
      <c r="M346" s="21" t="s">
        <v>1253</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1243</v>
      </c>
      <c r="L347" s="29" t="s">
        <v>1244</v>
      </c>
      <c r="M347" s="21" t="s">
        <v>1245</v>
      </c>
      <c r="N347" s="48">
        <v>45512</v>
      </c>
      <c r="O347" s="21">
        <f>INDEX(Auxiliar!$D$5:$F$13,MATCH(Table1[[#This Row],[Tipologia_Testes]],Auxiliar!$B$5:$B$13,0),MATCH(Table1[[#This Row],[Complexidade]],Auxiliar!$D$4:$F$4,0))</f>
        <v>8</v>
      </c>
      <c r="P347" s="23" t="s">
        <v>1271</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1246</v>
      </c>
      <c r="L348" s="29" t="s">
        <v>1252</v>
      </c>
      <c r="M348" s="21" t="s">
        <v>1253</v>
      </c>
      <c r="N348" s="48">
        <v>45499</v>
      </c>
      <c r="O348" s="21">
        <f>INDEX(Auxiliar!$D$5:$F$13,MATCH(Table1[[#This Row],[Tipologia_Testes]],Auxiliar!$B$5:$B$13,0),MATCH(Table1[[#This Row],[Complexidade]],Auxiliar!$D$4:$F$4,0))</f>
        <v>2</v>
      </c>
      <c r="P348" s="2" t="s">
        <v>1266</v>
      </c>
      <c r="Q348" s="2" t="s">
        <v>1263</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1247</v>
      </c>
      <c r="L349" s="29" t="s">
        <v>1252</v>
      </c>
      <c r="M349" s="21" t="s">
        <v>1253</v>
      </c>
      <c r="N349" s="48">
        <v>45499</v>
      </c>
      <c r="O349" s="21">
        <f>INDEX(Auxiliar!$D$5:$F$13,MATCH(Table1[[#This Row],[Tipologia_Testes]],Auxiliar!$B$5:$B$13,0),MATCH(Table1[[#This Row],[Complexidade]],Auxiliar!$D$4:$F$4,0))</f>
        <v>2</v>
      </c>
      <c r="P349" s="2" t="s">
        <v>1266</v>
      </c>
      <c r="Q349" s="2" t="s">
        <v>1263</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1249</v>
      </c>
      <c r="L350" s="29" t="s">
        <v>1252</v>
      </c>
      <c r="M350" s="21" t="s">
        <v>1253</v>
      </c>
      <c r="N350" s="48">
        <v>45499</v>
      </c>
      <c r="O350" s="21">
        <f>INDEX(Auxiliar!$D$5:$F$13,MATCH(Table1[[#This Row],[Tipologia_Testes]],Auxiliar!$B$5:$B$13,0),MATCH(Table1[[#This Row],[Complexidade]],Auxiliar!$D$4:$F$4,0))</f>
        <v>0.1</v>
      </c>
      <c r="P350" s="2" t="s">
        <v>1266</v>
      </c>
      <c r="Q350" s="2" t="s">
        <v>1263</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1246</v>
      </c>
      <c r="L351" s="29" t="s">
        <v>1252</v>
      </c>
      <c r="M351" s="21" t="s">
        <v>1253</v>
      </c>
      <c r="N351" s="48">
        <v>45499</v>
      </c>
      <c r="O351" s="21">
        <f>INDEX(Auxiliar!$D$5:$F$13,MATCH(Table1[[#This Row],[Tipologia_Testes]],Auxiliar!$B$5:$B$13,0),MATCH(Table1[[#This Row],[Complexidade]],Auxiliar!$D$4:$F$4,0))</f>
        <v>2</v>
      </c>
      <c r="P351" s="2" t="s">
        <v>1266</v>
      </c>
      <c r="Q351" s="2" t="s">
        <v>1263</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1247</v>
      </c>
      <c r="L352" s="29" t="s">
        <v>1252</v>
      </c>
      <c r="M352" s="21" t="s">
        <v>1253</v>
      </c>
      <c r="N352" s="48">
        <v>45499</v>
      </c>
      <c r="O352" s="21">
        <f>INDEX(Auxiliar!$D$5:$F$13,MATCH(Table1[[#This Row],[Tipologia_Testes]],Auxiliar!$B$5:$B$13,0),MATCH(Table1[[#This Row],[Complexidade]],Auxiliar!$D$4:$F$4,0))</f>
        <v>2</v>
      </c>
      <c r="P352" s="2" t="s">
        <v>1266</v>
      </c>
      <c r="Q352" s="2" t="s">
        <v>1263</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1249</v>
      </c>
      <c r="L353" s="29" t="s">
        <v>1252</v>
      </c>
      <c r="M353" s="21" t="s">
        <v>1253</v>
      </c>
      <c r="N353" s="48">
        <v>45499</v>
      </c>
      <c r="O353" s="21">
        <f>INDEX(Auxiliar!$D$5:$F$13,MATCH(Table1[[#This Row],[Tipologia_Testes]],Auxiliar!$B$5:$B$13,0),MATCH(Table1[[#This Row],[Complexidade]],Auxiliar!$D$4:$F$4,0))</f>
        <v>0.1</v>
      </c>
      <c r="P353" s="2" t="s">
        <v>1266</v>
      </c>
      <c r="Q353" s="2" t="s">
        <v>1263</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1246</v>
      </c>
      <c r="L354" s="29" t="s">
        <v>1252</v>
      </c>
      <c r="M354" s="21" t="s">
        <v>1253</v>
      </c>
      <c r="N354" s="48">
        <v>45499</v>
      </c>
      <c r="O354" s="21">
        <f>INDEX(Auxiliar!$D$5:$F$13,MATCH(Table1[[#This Row],[Tipologia_Testes]],Auxiliar!$B$5:$B$13,0),MATCH(Table1[[#This Row],[Complexidade]],Auxiliar!$D$4:$F$4,0))</f>
        <v>2</v>
      </c>
      <c r="P354" s="2" t="s">
        <v>1266</v>
      </c>
      <c r="Q354" s="2" t="s">
        <v>1263</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1247</v>
      </c>
      <c r="L355" s="29" t="s">
        <v>1252</v>
      </c>
      <c r="M355" s="21" t="s">
        <v>1253</v>
      </c>
      <c r="N355" s="48">
        <v>45499</v>
      </c>
      <c r="O355" s="21">
        <f>INDEX(Auxiliar!$D$5:$F$13,MATCH(Table1[[#This Row],[Tipologia_Testes]],Auxiliar!$B$5:$B$13,0),MATCH(Table1[[#This Row],[Complexidade]],Auxiliar!$D$4:$F$4,0))</f>
        <v>2</v>
      </c>
      <c r="P355" s="2" t="s">
        <v>1266</v>
      </c>
      <c r="Q355" s="2" t="s">
        <v>1263</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1249</v>
      </c>
      <c r="L356" s="29" t="s">
        <v>1252</v>
      </c>
      <c r="M356" s="21" t="s">
        <v>1253</v>
      </c>
      <c r="N356" s="48">
        <v>45499</v>
      </c>
      <c r="O356" s="21">
        <f>INDEX(Auxiliar!$D$5:$F$13,MATCH(Table1[[#This Row],[Tipologia_Testes]],Auxiliar!$B$5:$B$13,0),MATCH(Table1[[#This Row],[Complexidade]],Auxiliar!$D$4:$F$4,0))</f>
        <v>0.1</v>
      </c>
      <c r="P356" s="2" t="s">
        <v>1266</v>
      </c>
      <c r="Q356" s="2" t="s">
        <v>1263</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1246</v>
      </c>
      <c r="L357" s="29" t="s">
        <v>1264</v>
      </c>
      <c r="M357" s="21" t="s">
        <v>1253</v>
      </c>
      <c r="N357" s="48">
        <v>45485</v>
      </c>
      <c r="O357" s="21">
        <f>INDEX(Auxiliar!$D$5:$F$13,MATCH(Table1[[#This Row],[Tipologia_Testes]],Auxiliar!$B$5:$B$13,0),MATCH(Table1[[#This Row],[Complexidade]],Auxiliar!$D$4:$F$4,0))</f>
        <v>2</v>
      </c>
      <c r="P357" s="2" t="s">
        <v>1272</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1246</v>
      </c>
      <c r="L358" s="29" t="s">
        <v>1252</v>
      </c>
      <c r="M358" s="21" t="s">
        <v>1253</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1247</v>
      </c>
      <c r="L359" s="29" t="s">
        <v>1252</v>
      </c>
      <c r="M359" s="21" t="s">
        <v>1253</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1249</v>
      </c>
      <c r="L360" s="29" t="s">
        <v>1252</v>
      </c>
      <c r="M360" s="21" t="s">
        <v>1253</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1246</v>
      </c>
      <c r="L361" s="29" t="s">
        <v>1252</v>
      </c>
      <c r="M361" s="21" t="s">
        <v>1253</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1247</v>
      </c>
      <c r="L362" s="29" t="s">
        <v>1252</v>
      </c>
      <c r="M362" s="21" t="s">
        <v>1253</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1249</v>
      </c>
      <c r="L363" s="29" t="s">
        <v>1252</v>
      </c>
      <c r="M363" s="21" t="s">
        <v>1253</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1246</v>
      </c>
      <c r="L364" s="29" t="s">
        <v>1252</v>
      </c>
      <c r="M364" s="21" t="s">
        <v>1253</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1247</v>
      </c>
      <c r="L365" s="29" t="s">
        <v>1252</v>
      </c>
      <c r="M365" s="21" t="s">
        <v>1253</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1249</v>
      </c>
      <c r="L366" s="29" t="s">
        <v>1252</v>
      </c>
      <c r="M366" s="21" t="s">
        <v>1253</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1246</v>
      </c>
      <c r="L367" s="29" t="s">
        <v>1252</v>
      </c>
      <c r="M367" s="21" t="s">
        <v>1253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1247</v>
      </c>
      <c r="L368" s="29" t="s">
        <v>1252</v>
      </c>
      <c r="M368" s="21" t="s">
        <v>1253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1249</v>
      </c>
      <c r="L369" s="29" t="s">
        <v>1252</v>
      </c>
      <c r="M369" s="21" t="s">
        <v>1253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1246</v>
      </c>
      <c r="L370" s="29" t="s">
        <v>1252</v>
      </c>
      <c r="M370" s="21" t="s">
        <v>1253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1247</v>
      </c>
      <c r="L371" s="29" t="s">
        <v>1252</v>
      </c>
      <c r="M371" s="21" t="s">
        <v>1253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1249</v>
      </c>
      <c r="L372" s="29" t="s">
        <v>1252</v>
      </c>
      <c r="M372" s="21" t="s">
        <v>1253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1246</v>
      </c>
      <c r="L373" s="29" t="s">
        <v>1252</v>
      </c>
      <c r="M373" s="21" t="s">
        <v>1253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1247</v>
      </c>
      <c r="L374" s="29" t="s">
        <v>1252</v>
      </c>
      <c r="M374" s="21" t="s">
        <v>1253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1249</v>
      </c>
      <c r="L375" s="29" t="s">
        <v>1252</v>
      </c>
      <c r="M375" s="21" t="s">
        <v>1253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1246</v>
      </c>
      <c r="L376" s="29" t="s">
        <v>1252</v>
      </c>
      <c r="M376" s="21" t="s">
        <v>1253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1247</v>
      </c>
      <c r="L377" s="29" t="s">
        <v>1252</v>
      </c>
      <c r="M377" s="21" t="s">
        <v>1253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1249</v>
      </c>
      <c r="L378" s="29" t="s">
        <v>1252</v>
      </c>
      <c r="M378" s="21" t="s">
        <v>1253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1246</v>
      </c>
      <c r="L379" s="29" t="s">
        <v>1252</v>
      </c>
      <c r="M379" s="21" t="s">
        <v>1253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1247</v>
      </c>
      <c r="L380" s="29" t="s">
        <v>1252</v>
      </c>
      <c r="M380" s="21" t="s">
        <v>1253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1249</v>
      </c>
      <c r="L381" s="29" t="s">
        <v>1252</v>
      </c>
      <c r="M381" s="21" t="s">
        <v>1253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1246</v>
      </c>
      <c r="L382" s="29" t="s">
        <v>1252</v>
      </c>
      <c r="M382" s="21" t="s">
        <v>1253</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1247</v>
      </c>
      <c r="L383" s="29" t="s">
        <v>1252</v>
      </c>
      <c r="M383" s="21" t="s">
        <v>1253</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1249</v>
      </c>
      <c r="L384" s="29" t="s">
        <v>1252</v>
      </c>
      <c r="M384" s="21" t="s">
        <v>1253</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1246</v>
      </c>
      <c r="L385" s="29" t="s">
        <v>1264</v>
      </c>
      <c r="M385" s="21" t="s">
        <v>1253</v>
      </c>
      <c r="N385" s="48">
        <v>45485</v>
      </c>
      <c r="O385" s="21">
        <f>INDEX(Auxiliar!$D$5:$F$13,MATCH(Table1[[#This Row],[Tipologia_Testes]],Auxiliar!$B$5:$B$13,0),MATCH(Table1[[#This Row],[Complexidade]],Auxiliar!$D$4:$F$4,0))</f>
        <v>2</v>
      </c>
      <c r="P385" s="2" t="s">
        <v>1272</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1246</v>
      </c>
      <c r="L386" s="29" t="s">
        <v>1264</v>
      </c>
      <c r="M386" s="21" t="s">
        <v>1253</v>
      </c>
      <c r="N386" s="48">
        <v>45485</v>
      </c>
      <c r="O386" s="21">
        <f>INDEX(Auxiliar!$D$5:$F$13,MATCH(Table1[[#This Row],[Tipologia_Testes]],Auxiliar!$B$5:$B$13,0),MATCH(Table1[[#This Row],[Complexidade]],Auxiliar!$D$4:$F$4,0))</f>
        <v>2</v>
      </c>
      <c r="P386" s="2" t="s">
        <v>1272</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1246</v>
      </c>
      <c r="L387" s="29" t="s">
        <v>1252</v>
      </c>
      <c r="M387" s="21" t="s">
        <v>1253</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1247</v>
      </c>
      <c r="L388" s="29" t="s">
        <v>1252</v>
      </c>
      <c r="M388" s="21" t="s">
        <v>1253</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1249</v>
      </c>
      <c r="L389" s="29" t="s">
        <v>1252</v>
      </c>
      <c r="M389" s="21" t="s">
        <v>1253</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1246</v>
      </c>
      <c r="L390" s="29" t="s">
        <v>1252</v>
      </c>
      <c r="M390" s="21" t="s">
        <v>1253</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1247</v>
      </c>
      <c r="L391" s="29" t="s">
        <v>1252</v>
      </c>
      <c r="M391" s="21" t="s">
        <v>1253</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1249</v>
      </c>
      <c r="L392" s="29" t="s">
        <v>1252</v>
      </c>
      <c r="M392" s="21" t="s">
        <v>1253</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1243</v>
      </c>
      <c r="L393" s="29" t="s">
        <v>1244</v>
      </c>
      <c r="M393" s="21" t="s">
        <v>1245</v>
      </c>
      <c r="N393" s="48">
        <v>45512</v>
      </c>
      <c r="O393" s="21">
        <f>INDEX(Auxiliar!$D$5:$F$13,MATCH(Table1[[#This Row],[Tipologia_Testes]],Auxiliar!$B$5:$B$13,0),MATCH(Table1[[#This Row],[Complexidade]],Auxiliar!$D$4:$F$4,0))</f>
        <v>8</v>
      </c>
      <c r="P393" s="23" t="s">
        <v>1273</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1246</v>
      </c>
      <c r="L394" s="29" t="s">
        <v>1244</v>
      </c>
      <c r="M394" s="21" t="s">
        <v>1254</v>
      </c>
      <c r="N394" s="48">
        <v>45499</v>
      </c>
      <c r="O394" s="21">
        <f>INDEX(Auxiliar!$D$5:$F$13,MATCH(Table1[[#This Row],[Tipologia_Testes]],Auxiliar!$B$5:$B$13,0),MATCH(Table1[[#This Row],[Complexidade]],Auxiliar!$D$4:$F$4,0))</f>
        <v>4</v>
      </c>
      <c r="P394" s="2" t="s">
        <v>1266</v>
      </c>
      <c r="Q394" s="2" t="s">
        <v>1263</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1247</v>
      </c>
      <c r="L395" s="29" t="s">
        <v>1244</v>
      </c>
      <c r="M395" s="21" t="s">
        <v>1254</v>
      </c>
      <c r="N395" s="48">
        <v>45499</v>
      </c>
      <c r="O395" s="21">
        <f>INDEX(Auxiliar!$D$5:$F$13,MATCH(Table1[[#This Row],[Tipologia_Testes]],Auxiliar!$B$5:$B$13,0),MATCH(Table1[[#This Row],[Complexidade]],Auxiliar!$D$4:$F$4,0))</f>
        <v>4</v>
      </c>
      <c r="P395" s="2" t="s">
        <v>1266</v>
      </c>
      <c r="Q395" s="2" t="s">
        <v>1263</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1249</v>
      </c>
      <c r="L396" s="29" t="s">
        <v>1244</v>
      </c>
      <c r="M396" s="21" t="s">
        <v>1254</v>
      </c>
      <c r="N396" s="48">
        <v>45499</v>
      </c>
      <c r="O396" s="21">
        <f>INDEX(Auxiliar!$D$5:$F$13,MATCH(Table1[[#This Row],[Tipologia_Testes]],Auxiliar!$B$5:$B$13,0),MATCH(Table1[[#This Row],[Complexidade]],Auxiliar!$D$4:$F$4,0))</f>
        <v>0.1</v>
      </c>
      <c r="P396" s="2" t="s">
        <v>1266</v>
      </c>
      <c r="Q396" s="2" t="s">
        <v>1263</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1246</v>
      </c>
      <c r="L397" s="29" t="s">
        <v>1244</v>
      </c>
      <c r="M397" s="21" t="s">
        <v>1254</v>
      </c>
      <c r="N397" s="48">
        <v>45499</v>
      </c>
      <c r="O397" s="21">
        <f>INDEX(Auxiliar!$D$5:$F$13,MATCH(Table1[[#This Row],[Tipologia_Testes]],Auxiliar!$B$5:$B$13,0),MATCH(Table1[[#This Row],[Complexidade]],Auxiliar!$D$4:$F$4,0))</f>
        <v>4</v>
      </c>
      <c r="P397" s="2" t="s">
        <v>1266</v>
      </c>
      <c r="Q397" s="2" t="s">
        <v>1263</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1247</v>
      </c>
      <c r="L398" s="29" t="s">
        <v>1244</v>
      </c>
      <c r="M398" s="21" t="s">
        <v>1254</v>
      </c>
      <c r="N398" s="48">
        <v>45499</v>
      </c>
      <c r="O398" s="21">
        <f>INDEX(Auxiliar!$D$5:$F$13,MATCH(Table1[[#This Row],[Tipologia_Testes]],Auxiliar!$B$5:$B$13,0),MATCH(Table1[[#This Row],[Complexidade]],Auxiliar!$D$4:$F$4,0))</f>
        <v>4</v>
      </c>
      <c r="P398" s="2" t="s">
        <v>1266</v>
      </c>
      <c r="Q398" s="2" t="s">
        <v>1263</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1249</v>
      </c>
      <c r="L399" s="29" t="s">
        <v>1244</v>
      </c>
      <c r="M399" s="21" t="s">
        <v>1254</v>
      </c>
      <c r="N399" s="48">
        <v>45499</v>
      </c>
      <c r="O399" s="21">
        <f>INDEX(Auxiliar!$D$5:$F$13,MATCH(Table1[[#This Row],[Tipologia_Testes]],Auxiliar!$B$5:$B$13,0),MATCH(Table1[[#This Row],[Complexidade]],Auxiliar!$D$4:$F$4,0))</f>
        <v>0.1</v>
      </c>
      <c r="P399" s="2" t="s">
        <v>1266</v>
      </c>
      <c r="Q399" s="2" t="s">
        <v>1263</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1246</v>
      </c>
      <c r="L400" s="29" t="s">
        <v>1244</v>
      </c>
      <c r="M400" s="21" t="s">
        <v>1254</v>
      </c>
      <c r="N400" s="48">
        <v>45499</v>
      </c>
      <c r="O400" s="21">
        <f>INDEX(Auxiliar!$D$5:$F$13,MATCH(Table1[[#This Row],[Tipologia_Testes]],Auxiliar!$B$5:$B$13,0),MATCH(Table1[[#This Row],[Complexidade]],Auxiliar!$D$4:$F$4,0))</f>
        <v>4</v>
      </c>
      <c r="P400" s="2" t="s">
        <v>1266</v>
      </c>
      <c r="Q400" s="2" t="s">
        <v>1263</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1247</v>
      </c>
      <c r="L401" s="29" t="s">
        <v>1244</v>
      </c>
      <c r="M401" s="21" t="s">
        <v>1254</v>
      </c>
      <c r="N401" s="48">
        <v>45499</v>
      </c>
      <c r="O401" s="21">
        <f>INDEX(Auxiliar!$D$5:$F$13,MATCH(Table1[[#This Row],[Tipologia_Testes]],Auxiliar!$B$5:$B$13,0),MATCH(Table1[[#This Row],[Complexidade]],Auxiliar!$D$4:$F$4,0))</f>
        <v>4</v>
      </c>
      <c r="P401" s="2" t="s">
        <v>1266</v>
      </c>
      <c r="Q401" s="2" t="s">
        <v>1263</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1249</v>
      </c>
      <c r="L402" s="29" t="s">
        <v>1244</v>
      </c>
      <c r="M402" s="21" t="s">
        <v>1254</v>
      </c>
      <c r="N402" s="48">
        <v>45499</v>
      </c>
      <c r="O402" s="21">
        <f>INDEX(Auxiliar!$D$5:$F$13,MATCH(Table1[[#This Row],[Tipologia_Testes]],Auxiliar!$B$5:$B$13,0),MATCH(Table1[[#This Row],[Complexidade]],Auxiliar!$D$4:$F$4,0))</f>
        <v>0.1</v>
      </c>
      <c r="P402" s="2" t="s">
        <v>1266</v>
      </c>
      <c r="Q402" s="2" t="s">
        <v>1263</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1246</v>
      </c>
      <c r="L403" s="29" t="s">
        <v>1244</v>
      </c>
      <c r="M403" s="21" t="s">
        <v>1254</v>
      </c>
      <c r="N403" s="48">
        <v>45499</v>
      </c>
      <c r="O403" s="21">
        <f>INDEX(Auxiliar!$D$5:$F$13,MATCH(Table1[[#This Row],[Tipologia_Testes]],Auxiliar!$B$5:$B$13,0),MATCH(Table1[[#This Row],[Complexidade]],Auxiliar!$D$4:$F$4,0))</f>
        <v>4</v>
      </c>
      <c r="P403" s="2" t="s">
        <v>1266</v>
      </c>
      <c r="Q403" s="2" t="s">
        <v>1263</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1247</v>
      </c>
      <c r="L404" s="29" t="s">
        <v>1244</v>
      </c>
      <c r="M404" s="21" t="s">
        <v>1254</v>
      </c>
      <c r="N404" s="48">
        <v>45499</v>
      </c>
      <c r="O404" s="21">
        <f>INDEX(Auxiliar!$D$5:$F$13,MATCH(Table1[[#This Row],[Tipologia_Testes]],Auxiliar!$B$5:$B$13,0),MATCH(Table1[[#This Row],[Complexidade]],Auxiliar!$D$4:$F$4,0))</f>
        <v>4</v>
      </c>
      <c r="P404" s="2" t="s">
        <v>1266</v>
      </c>
      <c r="Q404" s="2" t="s">
        <v>1263</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1249</v>
      </c>
      <c r="L405" s="29" t="s">
        <v>1244</v>
      </c>
      <c r="M405" s="21" t="s">
        <v>1254</v>
      </c>
      <c r="N405" s="48">
        <v>45499</v>
      </c>
      <c r="O405" s="21">
        <f>INDEX(Auxiliar!$D$5:$F$13,MATCH(Table1[[#This Row],[Tipologia_Testes]],Auxiliar!$B$5:$B$13,0),MATCH(Table1[[#This Row],[Complexidade]],Auxiliar!$D$4:$F$4,0))</f>
        <v>0.1</v>
      </c>
      <c r="P405" s="2" t="s">
        <v>1266</v>
      </c>
      <c r="Q405" s="2" t="s">
        <v>1263</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1246</v>
      </c>
      <c r="L406" s="29" t="s">
        <v>1244</v>
      </c>
      <c r="M406" s="21" t="s">
        <v>1254</v>
      </c>
      <c r="N406" s="48">
        <v>45499</v>
      </c>
      <c r="O406" s="21">
        <f>INDEX(Auxiliar!$D$5:$F$13,MATCH(Table1[[#This Row],[Tipologia_Testes]],Auxiliar!$B$5:$B$13,0),MATCH(Table1[[#This Row],[Complexidade]],Auxiliar!$D$4:$F$4,0))</f>
        <v>4</v>
      </c>
      <c r="P406" s="2" t="s">
        <v>1266</v>
      </c>
      <c r="Q406" s="2" t="s">
        <v>1263</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1247</v>
      </c>
      <c r="L407" s="29" t="s">
        <v>1244</v>
      </c>
      <c r="M407" s="21" t="s">
        <v>1254</v>
      </c>
      <c r="N407" s="48">
        <v>45499</v>
      </c>
      <c r="O407" s="21">
        <f>INDEX(Auxiliar!$D$5:$F$13,MATCH(Table1[[#This Row],[Tipologia_Testes]],Auxiliar!$B$5:$B$13,0),MATCH(Table1[[#This Row],[Complexidade]],Auxiliar!$D$4:$F$4,0))</f>
        <v>4</v>
      </c>
      <c r="P407" s="2" t="s">
        <v>1266</v>
      </c>
      <c r="Q407" s="2" t="s">
        <v>1263</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1249</v>
      </c>
      <c r="L408" s="29" t="s">
        <v>1244</v>
      </c>
      <c r="M408" s="21" t="s">
        <v>1254</v>
      </c>
      <c r="N408" s="48">
        <v>45499</v>
      </c>
      <c r="O408" s="21">
        <f>INDEX(Auxiliar!$D$5:$F$13,MATCH(Table1[[#This Row],[Tipologia_Testes]],Auxiliar!$B$5:$B$13,0),MATCH(Table1[[#This Row],[Complexidade]],Auxiliar!$D$4:$F$4,0))</f>
        <v>0.1</v>
      </c>
      <c r="P408" s="2" t="s">
        <v>1266</v>
      </c>
      <c r="Q408" s="2" t="s">
        <v>1263</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1246</v>
      </c>
      <c r="L409" s="29" t="s">
        <v>1244</v>
      </c>
      <c r="M409" s="21" t="s">
        <v>1254</v>
      </c>
      <c r="N409" s="48">
        <v>45499</v>
      </c>
      <c r="O409" s="21">
        <f>INDEX(Auxiliar!$D$5:$F$13,MATCH(Table1[[#This Row],[Tipologia_Testes]],Auxiliar!$B$5:$B$13,0),MATCH(Table1[[#This Row],[Complexidade]],Auxiliar!$D$4:$F$4,0))</f>
        <v>4</v>
      </c>
      <c r="P409" s="2" t="s">
        <v>1266</v>
      </c>
      <c r="Q409" s="2" t="s">
        <v>1263</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1247</v>
      </c>
      <c r="L410" s="29" t="s">
        <v>1244</v>
      </c>
      <c r="M410" s="21" t="s">
        <v>1254</v>
      </c>
      <c r="N410" s="48">
        <v>45499</v>
      </c>
      <c r="O410" s="21">
        <f>INDEX(Auxiliar!$D$5:$F$13,MATCH(Table1[[#This Row],[Tipologia_Testes]],Auxiliar!$B$5:$B$13,0),MATCH(Table1[[#This Row],[Complexidade]],Auxiliar!$D$4:$F$4,0))</f>
        <v>4</v>
      </c>
      <c r="P410" s="2" t="s">
        <v>1266</v>
      </c>
      <c r="Q410" s="2" t="s">
        <v>1263</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1249</v>
      </c>
      <c r="L411" s="29" t="s">
        <v>1244</v>
      </c>
      <c r="M411" s="21" t="s">
        <v>1254</v>
      </c>
      <c r="N411" s="48">
        <v>45499</v>
      </c>
      <c r="O411" s="21">
        <f>INDEX(Auxiliar!$D$5:$F$13,MATCH(Table1[[#This Row],[Tipologia_Testes]],Auxiliar!$B$5:$B$13,0),MATCH(Table1[[#This Row],[Complexidade]],Auxiliar!$D$4:$F$4,0))</f>
        <v>0.1</v>
      </c>
      <c r="P411" s="2" t="s">
        <v>1266</v>
      </c>
      <c r="Q411" s="2" t="s">
        <v>1263</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1246</v>
      </c>
      <c r="L412" s="29" t="s">
        <v>1252</v>
      </c>
      <c r="M412" s="21" t="s">
        <v>1254</v>
      </c>
      <c r="N412" s="48">
        <v>45499</v>
      </c>
      <c r="O412" s="21">
        <f>INDEX(Auxiliar!$D$5:$F$13,MATCH(Table1[[#This Row],[Tipologia_Testes]],Auxiliar!$B$5:$B$13,0),MATCH(Table1[[#This Row],[Complexidade]],Auxiliar!$D$4:$F$4,0))</f>
        <v>4</v>
      </c>
      <c r="P412" s="2" t="s">
        <v>1266</v>
      </c>
      <c r="Q412" s="2" t="s">
        <v>1263</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1247</v>
      </c>
      <c r="L413" s="29" t="s">
        <v>1252</v>
      </c>
      <c r="M413" s="21" t="s">
        <v>1254</v>
      </c>
      <c r="N413" s="48">
        <v>45499</v>
      </c>
      <c r="O413" s="21">
        <f>INDEX(Auxiliar!$D$5:$F$13,MATCH(Table1[[#This Row],[Tipologia_Testes]],Auxiliar!$B$5:$B$13,0),MATCH(Table1[[#This Row],[Complexidade]],Auxiliar!$D$4:$F$4,0))</f>
        <v>4</v>
      </c>
      <c r="P413" s="2" t="s">
        <v>1266</v>
      </c>
      <c r="Q413" s="2" t="s">
        <v>1263</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1249</v>
      </c>
      <c r="L414" s="29" t="s">
        <v>1252</v>
      </c>
      <c r="M414" s="21" t="s">
        <v>1254</v>
      </c>
      <c r="N414" s="48">
        <v>45499</v>
      </c>
      <c r="O414" s="21">
        <f>INDEX(Auxiliar!$D$5:$F$13,MATCH(Table1[[#This Row],[Tipologia_Testes]],Auxiliar!$B$5:$B$13,0),MATCH(Table1[[#This Row],[Complexidade]],Auxiliar!$D$4:$F$4,0))</f>
        <v>0.1</v>
      </c>
      <c r="P414" s="2" t="s">
        <v>1266</v>
      </c>
      <c r="Q414" s="2" t="s">
        <v>1263</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1246</v>
      </c>
      <c r="L415" s="29" t="s">
        <v>1252</v>
      </c>
      <c r="M415" s="21" t="s">
        <v>1254</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1247</v>
      </c>
      <c r="L416" s="29" t="s">
        <v>1252</v>
      </c>
      <c r="M416" s="21" t="s">
        <v>1254</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1249</v>
      </c>
      <c r="L417" s="29" t="s">
        <v>1252</v>
      </c>
      <c r="M417" s="21" t="s">
        <v>1254</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1246</v>
      </c>
      <c r="L418" s="29" t="s">
        <v>1252</v>
      </c>
      <c r="M418" s="21" t="s">
        <v>1254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1247</v>
      </c>
      <c r="L419" s="29" t="s">
        <v>1252</v>
      </c>
      <c r="M419" s="21" t="s">
        <v>1254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1249</v>
      </c>
      <c r="L420" s="29" t="s">
        <v>1252</v>
      </c>
      <c r="M420" s="21" t="s">
        <v>1254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1246</v>
      </c>
      <c r="L421" s="29" t="s">
        <v>1252</v>
      </c>
      <c r="M421" s="21" t="s">
        <v>1254</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1247</v>
      </c>
      <c r="L422" s="29" t="s">
        <v>1252</v>
      </c>
      <c r="M422" s="21" t="s">
        <v>1254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1249</v>
      </c>
      <c r="L423" s="29" t="s">
        <v>1252</v>
      </c>
      <c r="M423" s="21" t="s">
        <v>1254</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1246</v>
      </c>
      <c r="L424" s="29" t="s">
        <v>1264</v>
      </c>
      <c r="M424" s="21" t="s">
        <v>1254</v>
      </c>
      <c r="N424" s="48">
        <v>45485</v>
      </c>
      <c r="O424" s="21">
        <f>INDEX(Auxiliar!$D$5:$F$13,MATCH(Table1[[#This Row],[Tipologia_Testes]],Auxiliar!$B$5:$B$13,0),MATCH(Table1[[#This Row],[Complexidade]],Auxiliar!$D$4:$F$4,0))</f>
        <v>4</v>
      </c>
      <c r="P424" s="2" t="s">
        <v>1272</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1246</v>
      </c>
      <c r="L425" s="29" t="s">
        <v>1252</v>
      </c>
      <c r="M425" s="21" t="s">
        <v>1254</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1247</v>
      </c>
      <c r="L426" s="29" t="s">
        <v>1252</v>
      </c>
      <c r="M426" s="21" t="s">
        <v>1254</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1249</v>
      </c>
      <c r="L427" s="29" t="s">
        <v>1252</v>
      </c>
      <c r="M427" s="21" t="s">
        <v>1254</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1246</v>
      </c>
      <c r="L428" s="29" t="s">
        <v>1244</v>
      </c>
      <c r="M428" s="21" t="s">
        <v>1254</v>
      </c>
      <c r="N428" s="48">
        <v>45512</v>
      </c>
      <c r="O428" s="21">
        <f>INDEX(Auxiliar!$D$5:$F$13,MATCH(Table1[[#This Row],[Tipologia_Testes]],Auxiliar!$B$5:$B$13,0),MATCH(Table1[[#This Row],[Complexidade]],Auxiliar!$D$4:$F$4,0))</f>
        <v>4</v>
      </c>
      <c r="P428" s="2" t="s">
        <v>1274</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1247</v>
      </c>
      <c r="L429" s="29" t="s">
        <v>1244</v>
      </c>
      <c r="M429" s="21" t="s">
        <v>1254</v>
      </c>
      <c r="N429" s="48">
        <v>45512</v>
      </c>
      <c r="O429" s="21">
        <f>INDEX(Auxiliar!$D$5:$F$13,MATCH(Table1[[#This Row],[Tipologia_Testes]],Auxiliar!$B$5:$B$13,0),MATCH(Table1[[#This Row],[Complexidade]],Auxiliar!$D$4:$F$4,0))</f>
        <v>4</v>
      </c>
      <c r="P429" s="2" t="s">
        <v>1274</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1249</v>
      </c>
      <c r="L430" s="29" t="s">
        <v>1244</v>
      </c>
      <c r="M430" s="21" t="s">
        <v>1254</v>
      </c>
      <c r="N430" s="48">
        <v>45512</v>
      </c>
      <c r="O430" s="21">
        <f>INDEX(Auxiliar!$D$5:$F$13,MATCH(Table1[[#This Row],[Tipologia_Testes]],Auxiliar!$B$5:$B$13,0),MATCH(Table1[[#This Row],[Complexidade]],Auxiliar!$D$4:$F$4,0))</f>
        <v>0.1</v>
      </c>
      <c r="P430" s="2" t="s">
        <v>1274</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1246</v>
      </c>
      <c r="L431" s="29" t="s">
        <v>1252</v>
      </c>
      <c r="M431" s="21" t="s">
        <v>1254</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1247</v>
      </c>
      <c r="L432" s="29" t="s">
        <v>1252</v>
      </c>
      <c r="M432" s="21" t="s">
        <v>1254</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1249</v>
      </c>
      <c r="L433" s="29" t="s">
        <v>1252</v>
      </c>
      <c r="M433" s="21" t="s">
        <v>1254</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1246</v>
      </c>
      <c r="L434" s="29" t="s">
        <v>1252</v>
      </c>
      <c r="M434" s="21" t="s">
        <v>1254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1247</v>
      </c>
      <c r="L435" s="29" t="s">
        <v>1252</v>
      </c>
      <c r="M435" s="21" t="s">
        <v>1254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1249</v>
      </c>
      <c r="L436" s="29" t="s">
        <v>1252</v>
      </c>
      <c r="M436" s="21" t="s">
        <v>1254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1246</v>
      </c>
      <c r="L437" s="29" t="s">
        <v>1252</v>
      </c>
      <c r="M437" s="21" t="s">
        <v>1254</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1247</v>
      </c>
      <c r="L438" s="29" t="s">
        <v>1252</v>
      </c>
      <c r="M438" s="21" t="s">
        <v>1254</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1249</v>
      </c>
      <c r="L439" s="29" t="s">
        <v>1252</v>
      </c>
      <c r="M439" s="21" t="s">
        <v>1254</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1246</v>
      </c>
      <c r="L440" s="29" t="s">
        <v>1264</v>
      </c>
      <c r="M440" s="21" t="s">
        <v>1254</v>
      </c>
      <c r="N440" s="48">
        <v>45485</v>
      </c>
      <c r="O440" s="21">
        <f>INDEX(Auxiliar!$D$5:$F$13,MATCH(Table1[[#This Row],[Tipologia_Testes]],Auxiliar!$B$5:$B$13,0),MATCH(Table1[[#This Row],[Complexidade]],Auxiliar!$D$4:$F$4,0))</f>
        <v>4</v>
      </c>
      <c r="P440" s="2" t="s">
        <v>1272</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1246</v>
      </c>
      <c r="L441" s="29" t="s">
        <v>1264</v>
      </c>
      <c r="M441" s="21" t="s">
        <v>1254</v>
      </c>
      <c r="N441" s="48">
        <v>45485</v>
      </c>
      <c r="O441" s="21">
        <f>INDEX(Auxiliar!$D$5:$F$13,MATCH(Table1[[#This Row],[Tipologia_Testes]],Auxiliar!$B$5:$B$13,0),MATCH(Table1[[#This Row],[Complexidade]],Auxiliar!$D$4:$F$4,0))</f>
        <v>4</v>
      </c>
      <c r="P441" s="2" t="s">
        <v>1272</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1246</v>
      </c>
      <c r="L442" s="29" t="s">
        <v>1252</v>
      </c>
      <c r="M442" s="21" t="s">
        <v>1253</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1247</v>
      </c>
      <c r="L443" s="29" t="s">
        <v>1252</v>
      </c>
      <c r="M443" s="21" t="s">
        <v>1253</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1249</v>
      </c>
      <c r="L444" s="29" t="s">
        <v>1252</v>
      </c>
      <c r="M444" s="21" t="s">
        <v>1253</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1246</v>
      </c>
      <c r="L445" s="29" t="s">
        <v>1252</v>
      </c>
      <c r="M445" s="21" t="s">
        <v>1253</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1247</v>
      </c>
      <c r="L446" s="29" t="s">
        <v>1252</v>
      </c>
      <c r="M446" s="21" t="s">
        <v>1253</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1249</v>
      </c>
      <c r="L447" s="29" t="s">
        <v>1252</v>
      </c>
      <c r="M447" s="21" t="s">
        <v>1253</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1243</v>
      </c>
      <c r="L448" s="29" t="s">
        <v>1244</v>
      </c>
      <c r="M448" s="21" t="s">
        <v>1245</v>
      </c>
      <c r="N448" s="48">
        <v>45485</v>
      </c>
      <c r="O448" s="21">
        <f>INDEX(Auxiliar!$D$5:$F$13,MATCH(Table1[[#This Row],[Tipologia_Testes]],Auxiliar!$B$5:$B$13,0),MATCH(Table1[[#This Row],[Complexidade]],Auxiliar!$D$4:$F$4,0))</f>
        <v>8</v>
      </c>
      <c r="P448" s="23" t="s">
        <v>1273</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1246</v>
      </c>
      <c r="L449" s="29" t="s">
        <v>1252</v>
      </c>
      <c r="M449" s="21" t="s">
        <v>1253</v>
      </c>
      <c r="N449" s="48">
        <v>45485</v>
      </c>
      <c r="O449" s="21">
        <f>INDEX(Auxiliar!$D$5:$F$13,MATCH(Table1[[#This Row],[Tipologia_Testes]],Auxiliar!$B$5:$B$13,0),MATCH(Table1[[#This Row],[Complexidade]],Auxiliar!$D$4:$F$4,0))</f>
        <v>2</v>
      </c>
      <c r="P449" s="2" t="s">
        <v>1266</v>
      </c>
      <c r="Q449" s="2" t="s">
        <v>1263</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1247</v>
      </c>
      <c r="L450" s="29" t="s">
        <v>1252</v>
      </c>
      <c r="M450" s="21" t="s">
        <v>1253</v>
      </c>
      <c r="N450" s="48">
        <v>45485</v>
      </c>
      <c r="O450" s="21">
        <f>INDEX(Auxiliar!$D$5:$F$13,MATCH(Table1[[#This Row],[Tipologia_Testes]],Auxiliar!$B$5:$B$13,0),MATCH(Table1[[#This Row],[Complexidade]],Auxiliar!$D$4:$F$4,0))</f>
        <v>2</v>
      </c>
      <c r="P450" s="2" t="s">
        <v>1266</v>
      </c>
      <c r="Q450" s="2" t="s">
        <v>1263</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1249</v>
      </c>
      <c r="L451" s="29" t="s">
        <v>1252</v>
      </c>
      <c r="M451" s="21" t="s">
        <v>1253</v>
      </c>
      <c r="N451" s="48">
        <v>45485</v>
      </c>
      <c r="O451" s="21">
        <f>INDEX(Auxiliar!$D$5:$F$13,MATCH(Table1[[#This Row],[Tipologia_Testes]],Auxiliar!$B$5:$B$13,0),MATCH(Table1[[#This Row],[Complexidade]],Auxiliar!$D$4:$F$4,0))</f>
        <v>0.1</v>
      </c>
      <c r="P451" s="2" t="s">
        <v>1266</v>
      </c>
      <c r="Q451" s="2" t="s">
        <v>1263</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1246</v>
      </c>
      <c r="L452" s="29" t="s">
        <v>1244</v>
      </c>
      <c r="M452" s="21" t="s">
        <v>1254</v>
      </c>
      <c r="N452" s="48">
        <v>45499</v>
      </c>
      <c r="O452" s="21">
        <f>INDEX(Auxiliar!$D$5:$F$13,MATCH(Table1[[#This Row],[Tipologia_Testes]],Auxiliar!$B$5:$B$13,0),MATCH(Table1[[#This Row],[Complexidade]],Auxiliar!$D$4:$F$4,0))</f>
        <v>4</v>
      </c>
      <c r="P452" s="2" t="s">
        <v>1266</v>
      </c>
      <c r="Q452" s="2" t="s">
        <v>1263</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1247</v>
      </c>
      <c r="L453" s="29" t="s">
        <v>1244</v>
      </c>
      <c r="M453" s="21" t="s">
        <v>1254</v>
      </c>
      <c r="N453" s="48">
        <v>45499</v>
      </c>
      <c r="O453" s="21">
        <f>INDEX(Auxiliar!$D$5:$F$13,MATCH(Table1[[#This Row],[Tipologia_Testes]],Auxiliar!$B$5:$B$13,0),MATCH(Table1[[#This Row],[Complexidade]],Auxiliar!$D$4:$F$4,0))</f>
        <v>4</v>
      </c>
      <c r="P453" s="2" t="s">
        <v>1266</v>
      </c>
      <c r="Q453" s="2" t="s">
        <v>1263</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1249</v>
      </c>
      <c r="L454" s="29" t="s">
        <v>1244</v>
      </c>
      <c r="M454" s="21" t="s">
        <v>1254</v>
      </c>
      <c r="N454" s="48">
        <v>45499</v>
      </c>
      <c r="O454" s="21">
        <f>INDEX(Auxiliar!$D$5:$F$13,MATCH(Table1[[#This Row],[Tipologia_Testes]],Auxiliar!$B$5:$B$13,0),MATCH(Table1[[#This Row],[Complexidade]],Auxiliar!$D$4:$F$4,0))</f>
        <v>0.1</v>
      </c>
      <c r="P454" s="2" t="s">
        <v>1266</v>
      </c>
      <c r="Q454" s="2" t="s">
        <v>1263</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1246</v>
      </c>
      <c r="L455" s="29" t="s">
        <v>1244</v>
      </c>
      <c r="M455" s="21" t="s">
        <v>1254</v>
      </c>
      <c r="N455" s="48">
        <v>45499</v>
      </c>
      <c r="O455" s="21">
        <f>INDEX(Auxiliar!$D$5:$F$13,MATCH(Table1[[#This Row],[Tipologia_Testes]],Auxiliar!$B$5:$B$13,0),MATCH(Table1[[#This Row],[Complexidade]],Auxiliar!$D$4:$F$4,0))</f>
        <v>4</v>
      </c>
      <c r="P455" s="2" t="s">
        <v>1266</v>
      </c>
      <c r="Q455" s="2" t="s">
        <v>1263</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1247</v>
      </c>
      <c r="L456" s="29" t="s">
        <v>1244</v>
      </c>
      <c r="M456" s="21" t="s">
        <v>1254</v>
      </c>
      <c r="N456" s="48">
        <v>45499</v>
      </c>
      <c r="O456" s="21">
        <f>INDEX(Auxiliar!$D$5:$F$13,MATCH(Table1[[#This Row],[Tipologia_Testes]],Auxiliar!$B$5:$B$13,0),MATCH(Table1[[#This Row],[Complexidade]],Auxiliar!$D$4:$F$4,0))</f>
        <v>4</v>
      </c>
      <c r="P456" s="2" t="s">
        <v>1266</v>
      </c>
      <c r="Q456" s="2" t="s">
        <v>1263</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1249</v>
      </c>
      <c r="L457" s="29" t="s">
        <v>1244</v>
      </c>
      <c r="M457" s="21" t="s">
        <v>1254</v>
      </c>
      <c r="N457" s="48">
        <v>45499</v>
      </c>
      <c r="O457" s="21">
        <f>INDEX(Auxiliar!$D$5:$F$13,MATCH(Table1[[#This Row],[Tipologia_Testes]],Auxiliar!$B$5:$B$13,0),MATCH(Table1[[#This Row],[Complexidade]],Auxiliar!$D$4:$F$4,0))</f>
        <v>0.1</v>
      </c>
      <c r="P457" s="2" t="s">
        <v>1266</v>
      </c>
      <c r="Q457" s="2" t="s">
        <v>1263</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1246</v>
      </c>
      <c r="L458" s="29" t="s">
        <v>1244</v>
      </c>
      <c r="M458" s="21" t="s">
        <v>1254</v>
      </c>
      <c r="N458" s="48">
        <v>45499</v>
      </c>
      <c r="O458" s="21">
        <f>INDEX(Auxiliar!$D$5:$F$13,MATCH(Table1[[#This Row],[Tipologia_Testes]],Auxiliar!$B$5:$B$13,0),MATCH(Table1[[#This Row],[Complexidade]],Auxiliar!$D$4:$F$4,0))</f>
        <v>4</v>
      </c>
      <c r="P458" s="2" t="s">
        <v>1266</v>
      </c>
      <c r="Q458" s="2" t="s">
        <v>1263</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1247</v>
      </c>
      <c r="L459" s="29" t="s">
        <v>1244</v>
      </c>
      <c r="M459" s="21" t="s">
        <v>1254</v>
      </c>
      <c r="N459" s="48">
        <v>45499</v>
      </c>
      <c r="O459" s="21">
        <f>INDEX(Auxiliar!$D$5:$F$13,MATCH(Table1[[#This Row],[Tipologia_Testes]],Auxiliar!$B$5:$B$13,0),MATCH(Table1[[#This Row],[Complexidade]],Auxiliar!$D$4:$F$4,0))</f>
        <v>4</v>
      </c>
      <c r="P459" s="2" t="s">
        <v>1266</v>
      </c>
      <c r="Q459" s="2" t="s">
        <v>1263</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1249</v>
      </c>
      <c r="L460" s="29" t="s">
        <v>1244</v>
      </c>
      <c r="M460" s="21" t="s">
        <v>1254</v>
      </c>
      <c r="N460" s="48">
        <v>45499</v>
      </c>
      <c r="O460" s="21">
        <f>INDEX(Auxiliar!$D$5:$F$13,MATCH(Table1[[#This Row],[Tipologia_Testes]],Auxiliar!$B$5:$B$13,0),MATCH(Table1[[#This Row],[Complexidade]],Auxiliar!$D$4:$F$4,0))</f>
        <v>0.1</v>
      </c>
      <c r="P460" s="2" t="s">
        <v>1266</v>
      </c>
      <c r="Q460" s="2" t="s">
        <v>1263</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1246</v>
      </c>
      <c r="L461" s="29" t="s">
        <v>1244</v>
      </c>
      <c r="M461" s="21" t="s">
        <v>1254</v>
      </c>
      <c r="N461" s="48">
        <v>45499</v>
      </c>
      <c r="O461" s="21">
        <f>INDEX(Auxiliar!$D$5:$F$13,MATCH(Table1[[#This Row],[Tipologia_Testes]],Auxiliar!$B$5:$B$13,0),MATCH(Table1[[#This Row],[Complexidade]],Auxiliar!$D$4:$F$4,0))</f>
        <v>4</v>
      </c>
      <c r="P461" s="2" t="s">
        <v>1266</v>
      </c>
      <c r="Q461" s="2" t="s">
        <v>1263</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1247</v>
      </c>
      <c r="L462" s="29" t="s">
        <v>1244</v>
      </c>
      <c r="M462" s="21" t="s">
        <v>1254</v>
      </c>
      <c r="N462" s="48">
        <v>45499</v>
      </c>
      <c r="O462" s="21">
        <f>INDEX(Auxiliar!$D$5:$F$13,MATCH(Table1[[#This Row],[Tipologia_Testes]],Auxiliar!$B$5:$B$13,0),MATCH(Table1[[#This Row],[Complexidade]],Auxiliar!$D$4:$F$4,0))</f>
        <v>4</v>
      </c>
      <c r="P462" s="2" t="s">
        <v>1266</v>
      </c>
      <c r="Q462" s="2" t="s">
        <v>1263</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1249</v>
      </c>
      <c r="L463" s="29" t="s">
        <v>1244</v>
      </c>
      <c r="M463" s="21" t="s">
        <v>1254</v>
      </c>
      <c r="N463" s="48">
        <v>45499</v>
      </c>
      <c r="O463" s="21">
        <f>INDEX(Auxiliar!$D$5:$F$13,MATCH(Table1[[#This Row],[Tipologia_Testes]],Auxiliar!$B$5:$B$13,0),MATCH(Table1[[#This Row],[Complexidade]],Auxiliar!$D$4:$F$4,0))</f>
        <v>0.1</v>
      </c>
      <c r="P463" s="2" t="s">
        <v>1266</v>
      </c>
      <c r="Q463" s="2" t="s">
        <v>1263</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1246</v>
      </c>
      <c r="L464" s="29" t="s">
        <v>1244</v>
      </c>
      <c r="M464" s="21" t="s">
        <v>1254</v>
      </c>
      <c r="N464" s="48">
        <v>45499</v>
      </c>
      <c r="O464" s="21">
        <f>INDEX(Auxiliar!$D$5:$F$13,MATCH(Table1[[#This Row],[Tipologia_Testes]],Auxiliar!$B$5:$B$13,0),MATCH(Table1[[#This Row],[Complexidade]],Auxiliar!$D$4:$F$4,0))</f>
        <v>4</v>
      </c>
      <c r="P464" s="2" t="s">
        <v>1266</v>
      </c>
      <c r="Q464" s="2" t="s">
        <v>1263</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1247</v>
      </c>
      <c r="L465" s="29" t="s">
        <v>1244</v>
      </c>
      <c r="M465" s="21" t="s">
        <v>1254</v>
      </c>
      <c r="N465" s="48">
        <v>45499</v>
      </c>
      <c r="O465" s="21">
        <f>INDEX(Auxiliar!$D$5:$F$13,MATCH(Table1[[#This Row],[Tipologia_Testes]],Auxiliar!$B$5:$B$13,0),MATCH(Table1[[#This Row],[Complexidade]],Auxiliar!$D$4:$F$4,0))</f>
        <v>4</v>
      </c>
      <c r="P465" s="2" t="s">
        <v>1266</v>
      </c>
      <c r="Q465" s="2" t="s">
        <v>1263</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1249</v>
      </c>
      <c r="L466" s="29" t="s">
        <v>1244</v>
      </c>
      <c r="M466" s="21" t="s">
        <v>1254</v>
      </c>
      <c r="N466" s="48">
        <v>45499</v>
      </c>
      <c r="O466" s="21">
        <f>INDEX(Auxiliar!$D$5:$F$13,MATCH(Table1[[#This Row],[Tipologia_Testes]],Auxiliar!$B$5:$B$13,0),MATCH(Table1[[#This Row],[Complexidade]],Auxiliar!$D$4:$F$4,0))</f>
        <v>0.1</v>
      </c>
      <c r="P466" s="2" t="s">
        <v>1266</v>
      </c>
      <c r="Q466" s="2" t="s">
        <v>1263</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1246</v>
      </c>
      <c r="L467" s="29" t="s">
        <v>1252</v>
      </c>
      <c r="M467" s="21" t="s">
        <v>1253</v>
      </c>
      <c r="N467" s="48">
        <v>45485</v>
      </c>
      <c r="O467" s="21">
        <f>INDEX(Auxiliar!$D$5:$F$13,MATCH(Table1[[#This Row],[Tipologia_Testes]],Auxiliar!$B$5:$B$13,0),MATCH(Table1[[#This Row],[Complexidade]],Auxiliar!$D$4:$F$4,0))</f>
        <v>2</v>
      </c>
      <c r="P467" s="2" t="s">
        <v>1266</v>
      </c>
      <c r="Q467" s="2" t="s">
        <v>1263</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1247</v>
      </c>
      <c r="L468" s="29" t="s">
        <v>1252</v>
      </c>
      <c r="M468" s="21" t="s">
        <v>1253</v>
      </c>
      <c r="N468" s="48">
        <v>45485</v>
      </c>
      <c r="O468" s="21">
        <f>INDEX(Auxiliar!$D$5:$F$13,MATCH(Table1[[#This Row],[Tipologia_Testes]],Auxiliar!$B$5:$B$13,0),MATCH(Table1[[#This Row],[Complexidade]],Auxiliar!$D$4:$F$4,0))</f>
        <v>2</v>
      </c>
      <c r="P468" s="2" t="s">
        <v>1266</v>
      </c>
      <c r="Q468" s="2" t="s">
        <v>1263</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1249</v>
      </c>
      <c r="L469" s="29" t="s">
        <v>1252</v>
      </c>
      <c r="M469" s="21" t="s">
        <v>1253</v>
      </c>
      <c r="N469" s="48">
        <v>45485</v>
      </c>
      <c r="O469" s="21">
        <f>INDEX(Auxiliar!$D$5:$F$13,MATCH(Table1[[#This Row],[Tipologia_Testes]],Auxiliar!$B$5:$B$13,0),MATCH(Table1[[#This Row],[Complexidade]],Auxiliar!$D$4:$F$4,0))</f>
        <v>0.1</v>
      </c>
      <c r="P469" s="2" t="s">
        <v>1266</v>
      </c>
      <c r="Q469" s="2" t="s">
        <v>1263</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1246</v>
      </c>
      <c r="L470" s="29" t="s">
        <v>1244</v>
      </c>
      <c r="M470" s="21" t="s">
        <v>1254</v>
      </c>
      <c r="N470" s="48">
        <v>45505</v>
      </c>
      <c r="O470" s="21">
        <f>INDEX(Auxiliar!$D$5:$F$13,MATCH(Table1[[#This Row],[Tipologia_Testes]],Auxiliar!$B$5:$B$13,0),MATCH(Table1[[#This Row],[Complexidade]],Auxiliar!$D$4:$F$4,0))</f>
        <v>4</v>
      </c>
      <c r="P470" s="2"/>
      <c r="Q470" s="2" t="s">
        <v>1263</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1247</v>
      </c>
      <c r="L471" s="29" t="s">
        <v>1244</v>
      </c>
      <c r="M471" s="21" t="s">
        <v>1254</v>
      </c>
      <c r="N471" s="48">
        <v>45505</v>
      </c>
      <c r="O471" s="21">
        <f>INDEX(Auxiliar!$D$5:$F$13,MATCH(Table1[[#This Row],[Tipologia_Testes]],Auxiliar!$B$5:$B$13,0),MATCH(Table1[[#This Row],[Complexidade]],Auxiliar!$D$4:$F$4,0))</f>
        <v>4</v>
      </c>
      <c r="P471" s="2"/>
      <c r="Q471" s="2" t="s">
        <v>1263</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1249</v>
      </c>
      <c r="L472" s="29" t="s">
        <v>1244</v>
      </c>
      <c r="M472" s="21" t="s">
        <v>1254</v>
      </c>
      <c r="N472" s="48">
        <v>45505</v>
      </c>
      <c r="O472" s="21">
        <f>INDEX(Auxiliar!$D$5:$F$13,MATCH(Table1[[#This Row],[Tipologia_Testes]],Auxiliar!$B$5:$B$13,0),MATCH(Table1[[#This Row],[Complexidade]],Auxiliar!$D$4:$F$4,0))</f>
        <v>0.1</v>
      </c>
      <c r="P472" s="2"/>
      <c r="Q472" s="2" t="s">
        <v>1263</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1246</v>
      </c>
      <c r="L473" s="29" t="s">
        <v>1264</v>
      </c>
      <c r="M473" s="21" t="s">
        <v>1254</v>
      </c>
      <c r="N473" s="48">
        <v>45485</v>
      </c>
      <c r="O473" s="21">
        <f>INDEX(Auxiliar!$D$5:$F$13,MATCH(Table1[[#This Row],[Tipologia_Testes]],Auxiliar!$B$5:$B$13,0),MATCH(Table1[[#This Row],[Complexidade]],Auxiliar!$D$4:$F$4,0))</f>
        <v>4</v>
      </c>
      <c r="P473" s="2" t="s">
        <v>1272</v>
      </c>
      <c r="Q473" s="2" t="s">
        <v>1263</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1246</v>
      </c>
      <c r="L474" s="29" t="s">
        <v>1252</v>
      </c>
      <c r="M474" s="21" t="s">
        <v>1253</v>
      </c>
      <c r="N474" s="48">
        <v>45485</v>
      </c>
      <c r="O474" s="21">
        <f>INDEX(Auxiliar!$D$5:$F$13,MATCH(Table1[[#This Row],[Tipologia_Testes]],Auxiliar!$B$5:$B$13,0),MATCH(Table1[[#This Row],[Complexidade]],Auxiliar!$D$4:$F$4,0))</f>
        <v>2</v>
      </c>
      <c r="P474" s="2"/>
      <c r="Q474" s="2" t="s">
        <v>1263</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1247</v>
      </c>
      <c r="L475" s="29" t="s">
        <v>1252</v>
      </c>
      <c r="M475" s="21" t="s">
        <v>1253</v>
      </c>
      <c r="N475" s="48">
        <v>45485</v>
      </c>
      <c r="O475" s="21">
        <f>INDEX(Auxiliar!$D$5:$F$13,MATCH(Table1[[#This Row],[Tipologia_Testes]],Auxiliar!$B$5:$B$13,0),MATCH(Table1[[#This Row],[Complexidade]],Auxiliar!$D$4:$F$4,0))</f>
        <v>2</v>
      </c>
      <c r="P475" s="2"/>
      <c r="Q475" s="2" t="s">
        <v>1263</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1249</v>
      </c>
      <c r="L476" s="29" t="s">
        <v>1252</v>
      </c>
      <c r="M476" s="21" t="s">
        <v>1253</v>
      </c>
      <c r="N476" s="48">
        <v>45485</v>
      </c>
      <c r="O476" s="21">
        <f>INDEX(Auxiliar!$D$5:$F$13,MATCH(Table1[[#This Row],[Tipologia_Testes]],Auxiliar!$B$5:$B$13,0),MATCH(Table1[[#This Row],[Complexidade]],Auxiliar!$D$4:$F$4,0))</f>
        <v>0.1</v>
      </c>
      <c r="P476" s="2"/>
      <c r="Q476" s="2" t="s">
        <v>1263</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1246</v>
      </c>
      <c r="L477" s="29" t="s">
        <v>1252</v>
      </c>
      <c r="M477" s="21" t="s">
        <v>1253</v>
      </c>
      <c r="N477" s="48">
        <v>45485</v>
      </c>
      <c r="O477" s="21">
        <f>INDEX(Auxiliar!$D$5:$F$13,MATCH(Table1[[#This Row],[Tipologia_Testes]],Auxiliar!$B$5:$B$13,0),MATCH(Table1[[#This Row],[Complexidade]],Auxiliar!$D$4:$F$4,0))</f>
        <v>2</v>
      </c>
      <c r="P477" s="2"/>
      <c r="Q477" s="2" t="s">
        <v>1263</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1247</v>
      </c>
      <c r="L478" s="29" t="s">
        <v>1252</v>
      </c>
      <c r="M478" s="21" t="s">
        <v>1253</v>
      </c>
      <c r="N478" s="48">
        <v>45485</v>
      </c>
      <c r="O478" s="21">
        <f>INDEX(Auxiliar!$D$5:$F$13,MATCH(Table1[[#This Row],[Tipologia_Testes]],Auxiliar!$B$5:$B$13,0),MATCH(Table1[[#This Row],[Complexidade]],Auxiliar!$D$4:$F$4,0))</f>
        <v>2</v>
      </c>
      <c r="P478" s="2"/>
      <c r="Q478" s="2" t="s">
        <v>1263</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1249</v>
      </c>
      <c r="L479" s="29" t="s">
        <v>1252</v>
      </c>
      <c r="M479" s="21" t="s">
        <v>1253</v>
      </c>
      <c r="N479" s="48">
        <v>45485</v>
      </c>
      <c r="O479" s="21">
        <f>INDEX(Auxiliar!$D$5:$F$13,MATCH(Table1[[#This Row],[Tipologia_Testes]],Auxiliar!$B$5:$B$13,0),MATCH(Table1[[#This Row],[Complexidade]],Auxiliar!$D$4:$F$4,0))</f>
        <v>0.1</v>
      </c>
      <c r="P479" s="2"/>
      <c r="Q479" s="2" t="s">
        <v>1263</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1246</v>
      </c>
      <c r="L480" s="29" t="s">
        <v>1252</v>
      </c>
      <c r="M480" s="21" t="s">
        <v>1253</v>
      </c>
      <c r="N480" s="48">
        <v>45485</v>
      </c>
      <c r="O480" s="21">
        <f>INDEX(Auxiliar!$D$5:$F$13,MATCH(Table1[[#This Row],[Tipologia_Testes]],Auxiliar!$B$5:$B$13,0),MATCH(Table1[[#This Row],[Complexidade]],Auxiliar!$D$4:$F$4,0))</f>
        <v>2</v>
      </c>
      <c r="P480" s="2"/>
      <c r="Q480" s="2" t="s">
        <v>1263</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1247</v>
      </c>
      <c r="L481" s="29" t="s">
        <v>1252</v>
      </c>
      <c r="M481" s="21" t="s">
        <v>1253</v>
      </c>
      <c r="N481" s="48">
        <v>45485</v>
      </c>
      <c r="O481" s="21">
        <f>INDEX(Auxiliar!$D$5:$F$13,MATCH(Table1[[#This Row],[Tipologia_Testes]],Auxiliar!$B$5:$B$13,0),MATCH(Table1[[#This Row],[Complexidade]],Auxiliar!$D$4:$F$4,0))</f>
        <v>2</v>
      </c>
      <c r="P481" s="2"/>
      <c r="Q481" s="2" t="s">
        <v>1263</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1249</v>
      </c>
      <c r="L482" s="29" t="s">
        <v>1252</v>
      </c>
      <c r="M482" s="21" t="s">
        <v>1253</v>
      </c>
      <c r="N482" s="48">
        <v>45485</v>
      </c>
      <c r="O482" s="21">
        <f>INDEX(Auxiliar!$D$5:$F$13,MATCH(Table1[[#This Row],[Tipologia_Testes]],Auxiliar!$B$5:$B$13,0),MATCH(Table1[[#This Row],[Complexidade]],Auxiliar!$D$4:$F$4,0))</f>
        <v>0.1</v>
      </c>
      <c r="P482" s="2"/>
      <c r="Q482" s="2" t="s">
        <v>1263</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1246</v>
      </c>
      <c r="L483" s="29" t="s">
        <v>1252</v>
      </c>
      <c r="M483" s="21" t="s">
        <v>1253</v>
      </c>
      <c r="N483" s="48">
        <v>45485</v>
      </c>
      <c r="O483" s="21">
        <f>INDEX(Auxiliar!$D$5:$F$13,MATCH(Table1[[#This Row],[Tipologia_Testes]],Auxiliar!$B$5:$B$13,0),MATCH(Table1[[#This Row],[Complexidade]],Auxiliar!$D$4:$F$4,0))</f>
        <v>2</v>
      </c>
      <c r="P483" s="2"/>
      <c r="Q483" s="2" t="s">
        <v>1263</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1247</v>
      </c>
      <c r="L484" s="29" t="s">
        <v>1252</v>
      </c>
      <c r="M484" s="21" t="s">
        <v>1253</v>
      </c>
      <c r="N484" s="48">
        <v>45485</v>
      </c>
      <c r="O484" s="21">
        <f>INDEX(Auxiliar!$D$5:$F$13,MATCH(Table1[[#This Row],[Tipologia_Testes]],Auxiliar!$B$5:$B$13,0),MATCH(Table1[[#This Row],[Complexidade]],Auxiliar!$D$4:$F$4,0))</f>
        <v>2</v>
      </c>
      <c r="P484" s="2"/>
      <c r="Q484" s="2" t="s">
        <v>1263</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1249</v>
      </c>
      <c r="L485" s="29" t="s">
        <v>1252</v>
      </c>
      <c r="M485" s="21" t="s">
        <v>1253</v>
      </c>
      <c r="N485" s="48">
        <v>45485</v>
      </c>
      <c r="O485" s="21">
        <f>INDEX(Auxiliar!$D$5:$F$13,MATCH(Table1[[#This Row],[Tipologia_Testes]],Auxiliar!$B$5:$B$13,0),MATCH(Table1[[#This Row],[Complexidade]],Auxiliar!$D$4:$F$4,0))</f>
        <v>0.1</v>
      </c>
      <c r="P485" s="2"/>
      <c r="Q485" s="2" t="s">
        <v>1263</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1246</v>
      </c>
      <c r="L486" s="29" t="s">
        <v>1252</v>
      </c>
      <c r="M486" s="21" t="s">
        <v>1253</v>
      </c>
      <c r="N486" s="48">
        <v>45485</v>
      </c>
      <c r="O486" s="21">
        <f>INDEX(Auxiliar!$D$5:$F$13,MATCH(Table1[[#This Row],[Tipologia_Testes]],Auxiliar!$B$5:$B$13,0),MATCH(Table1[[#This Row],[Complexidade]],Auxiliar!$D$4:$F$4,0))</f>
        <v>2</v>
      </c>
      <c r="P486" s="2"/>
      <c r="Q486" s="2" t="s">
        <v>1263</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1247</v>
      </c>
      <c r="L487" s="29" t="s">
        <v>1252</v>
      </c>
      <c r="M487" s="21" t="s">
        <v>1253</v>
      </c>
      <c r="N487" s="48">
        <v>45485</v>
      </c>
      <c r="O487" s="21">
        <f>INDEX(Auxiliar!$D$5:$F$13,MATCH(Table1[[#This Row],[Tipologia_Testes]],Auxiliar!$B$5:$B$13,0),MATCH(Table1[[#This Row],[Complexidade]],Auxiliar!$D$4:$F$4,0))</f>
        <v>2</v>
      </c>
      <c r="P487" s="2"/>
      <c r="Q487" s="2" t="s">
        <v>1263</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1249</v>
      </c>
      <c r="L488" s="29" t="s">
        <v>1252</v>
      </c>
      <c r="M488" s="21" t="s">
        <v>1253</v>
      </c>
      <c r="N488" s="48">
        <v>45485</v>
      </c>
      <c r="O488" s="21">
        <f>INDEX(Auxiliar!$D$5:$F$13,MATCH(Table1[[#This Row],[Tipologia_Testes]],Auxiliar!$B$5:$B$13,0),MATCH(Table1[[#This Row],[Complexidade]],Auxiliar!$D$4:$F$4,0))</f>
        <v>0.1</v>
      </c>
      <c r="P488" s="2"/>
      <c r="Q488" s="2" t="s">
        <v>1263</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1246</v>
      </c>
      <c r="L489" s="29" t="s">
        <v>1252</v>
      </c>
      <c r="M489" s="21" t="s">
        <v>1253</v>
      </c>
      <c r="N489" s="48">
        <v>45485</v>
      </c>
      <c r="O489" s="21">
        <f>INDEX(Auxiliar!$D$5:$F$13,MATCH(Table1[[#This Row],[Tipologia_Testes]],Auxiliar!$B$5:$B$13,0),MATCH(Table1[[#This Row],[Complexidade]],Auxiliar!$D$4:$F$4,0))</f>
        <v>2</v>
      </c>
      <c r="P489" s="2"/>
      <c r="Q489" s="2" t="s">
        <v>1263</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1247</v>
      </c>
      <c r="L490" s="29" t="s">
        <v>1252</v>
      </c>
      <c r="M490" s="21" t="s">
        <v>1253</v>
      </c>
      <c r="N490" s="48">
        <v>45485</v>
      </c>
      <c r="O490" s="21">
        <f>INDEX(Auxiliar!$D$5:$F$13,MATCH(Table1[[#This Row],[Tipologia_Testes]],Auxiliar!$B$5:$B$13,0),MATCH(Table1[[#This Row],[Complexidade]],Auxiliar!$D$4:$F$4,0))</f>
        <v>2</v>
      </c>
      <c r="P490" s="2"/>
      <c r="Q490" s="2" t="s">
        <v>1263</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1249</v>
      </c>
      <c r="L491" s="29" t="s">
        <v>1252</v>
      </c>
      <c r="M491" s="21" t="s">
        <v>1253</v>
      </c>
      <c r="N491" s="48">
        <v>45485</v>
      </c>
      <c r="O491" s="21">
        <f>INDEX(Auxiliar!$D$5:$F$13,MATCH(Table1[[#This Row],[Tipologia_Testes]],Auxiliar!$B$5:$B$13,0),MATCH(Table1[[#This Row],[Complexidade]],Auxiliar!$D$4:$F$4,0))</f>
        <v>0.1</v>
      </c>
      <c r="P491" s="2"/>
      <c r="Q491" s="2" t="s">
        <v>1263</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1243</v>
      </c>
      <c r="L492" s="29" t="s">
        <v>1252</v>
      </c>
      <c r="M492" s="21" t="s">
        <v>1253</v>
      </c>
      <c r="N492" s="48">
        <v>45505</v>
      </c>
      <c r="O492" s="21">
        <f>INDEX(Auxiliar!$D$5:$F$13,MATCH(Table1[[#This Row],[Tipologia_Testes]],Auxiliar!$B$5:$B$13,0),MATCH(Table1[[#This Row],[Complexidade]],Auxiliar!$D$4:$F$4,0))</f>
        <v>8</v>
      </c>
      <c r="P492" s="23" t="s">
        <v>1275</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1246</v>
      </c>
      <c r="L493" s="29" t="s">
        <v>1252</v>
      </c>
      <c r="M493" s="21" t="s">
        <v>1253</v>
      </c>
      <c r="N493" s="48">
        <v>45485</v>
      </c>
      <c r="O493" s="21">
        <f>INDEX(Auxiliar!$D$5:$F$13,MATCH(Table1[[#This Row],[Tipologia_Testes]],Auxiliar!$B$5:$B$13,0),MATCH(Table1[[#This Row],[Complexidade]],Auxiliar!$D$4:$F$4,0))</f>
        <v>2</v>
      </c>
      <c r="P493" s="2" t="s">
        <v>1266</v>
      </c>
      <c r="Q493" s="2" t="s">
        <v>1263</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1247</v>
      </c>
      <c r="L494" s="29" t="s">
        <v>1252</v>
      </c>
      <c r="M494" s="21" t="s">
        <v>1253</v>
      </c>
      <c r="N494" s="48">
        <v>45485</v>
      </c>
      <c r="O494" s="21">
        <f>INDEX(Auxiliar!$D$5:$F$13,MATCH(Table1[[#This Row],[Tipologia_Testes]],Auxiliar!$B$5:$B$13,0),MATCH(Table1[[#This Row],[Complexidade]],Auxiliar!$D$4:$F$4,0))</f>
        <v>2</v>
      </c>
      <c r="P494" s="2" t="s">
        <v>1266</v>
      </c>
      <c r="Q494" s="2" t="s">
        <v>1263</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1249</v>
      </c>
      <c r="L495" s="29" t="s">
        <v>1252</v>
      </c>
      <c r="M495" s="21" t="s">
        <v>1253</v>
      </c>
      <c r="N495" s="48">
        <v>45485</v>
      </c>
      <c r="O495" s="21">
        <f>INDEX(Auxiliar!$D$5:$F$13,MATCH(Table1[[#This Row],[Tipologia_Testes]],Auxiliar!$B$5:$B$13,0),MATCH(Table1[[#This Row],[Complexidade]],Auxiliar!$D$4:$F$4,0))</f>
        <v>0.1</v>
      </c>
      <c r="P495" s="2" t="s">
        <v>1266</v>
      </c>
      <c r="Q495" s="2" t="s">
        <v>1263</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1246</v>
      </c>
      <c r="L496" s="29" t="s">
        <v>1252</v>
      </c>
      <c r="M496" s="21" t="s">
        <v>1253</v>
      </c>
      <c r="N496" s="48">
        <v>45485</v>
      </c>
      <c r="O496" s="21">
        <f>INDEX(Auxiliar!$D$5:$F$13,MATCH(Table1[[#This Row],[Tipologia_Testes]],Auxiliar!$B$5:$B$13,0),MATCH(Table1[[#This Row],[Complexidade]],Auxiliar!$D$4:$F$4,0))</f>
        <v>2</v>
      </c>
      <c r="P496" s="2" t="s">
        <v>1266</v>
      </c>
      <c r="Q496" s="2" t="s">
        <v>1263</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1247</v>
      </c>
      <c r="L497" s="29" t="s">
        <v>1252</v>
      </c>
      <c r="M497" s="21" t="s">
        <v>1253</v>
      </c>
      <c r="N497" s="48">
        <v>45485</v>
      </c>
      <c r="O497" s="21">
        <f>INDEX(Auxiliar!$D$5:$F$13,MATCH(Table1[[#This Row],[Tipologia_Testes]],Auxiliar!$B$5:$B$13,0),MATCH(Table1[[#This Row],[Complexidade]],Auxiliar!$D$4:$F$4,0))</f>
        <v>2</v>
      </c>
      <c r="P497" s="2" t="s">
        <v>1266</v>
      </c>
      <c r="Q497" s="2" t="s">
        <v>1263</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1249</v>
      </c>
      <c r="L498" s="29" t="s">
        <v>1252</v>
      </c>
      <c r="M498" s="21" t="s">
        <v>1253</v>
      </c>
      <c r="N498" s="48">
        <v>45485</v>
      </c>
      <c r="O498" s="21">
        <f>INDEX(Auxiliar!$D$5:$F$13,MATCH(Table1[[#This Row],[Tipologia_Testes]],Auxiliar!$B$5:$B$13,0),MATCH(Table1[[#This Row],[Complexidade]],Auxiliar!$D$4:$F$4,0))</f>
        <v>0.1</v>
      </c>
      <c r="P498" s="2" t="s">
        <v>1266</v>
      </c>
      <c r="Q498" s="2" t="s">
        <v>1263</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1246</v>
      </c>
      <c r="L499" s="29" t="s">
        <v>1252</v>
      </c>
      <c r="M499" s="21" t="s">
        <v>1253</v>
      </c>
      <c r="N499" s="48">
        <v>45485</v>
      </c>
      <c r="O499" s="21">
        <f>INDEX(Auxiliar!$D$5:$F$13,MATCH(Table1[[#This Row],[Tipologia_Testes]],Auxiliar!$B$5:$B$13,0),MATCH(Table1[[#This Row],[Complexidade]],Auxiliar!$D$4:$F$4,0))</f>
        <v>2</v>
      </c>
      <c r="P499" s="2" t="s">
        <v>1266</v>
      </c>
      <c r="Q499" s="2" t="s">
        <v>1263</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1247</v>
      </c>
      <c r="L500" s="29" t="s">
        <v>1252</v>
      </c>
      <c r="M500" s="21" t="s">
        <v>1253</v>
      </c>
      <c r="N500" s="48">
        <v>45485</v>
      </c>
      <c r="O500" s="21">
        <f>INDEX(Auxiliar!$D$5:$F$13,MATCH(Table1[[#This Row],[Tipologia_Testes]],Auxiliar!$B$5:$B$13,0),MATCH(Table1[[#This Row],[Complexidade]],Auxiliar!$D$4:$F$4,0))</f>
        <v>2</v>
      </c>
      <c r="P500" s="2" t="s">
        <v>1266</v>
      </c>
      <c r="Q500" s="2" t="s">
        <v>1263</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1249</v>
      </c>
      <c r="L501" s="29" t="s">
        <v>1252</v>
      </c>
      <c r="M501" s="21" t="s">
        <v>1253</v>
      </c>
      <c r="N501" s="48">
        <v>45485</v>
      </c>
      <c r="O501" s="21">
        <f>INDEX(Auxiliar!$D$5:$F$13,MATCH(Table1[[#This Row],[Tipologia_Testes]],Auxiliar!$B$5:$B$13,0),MATCH(Table1[[#This Row],[Complexidade]],Auxiliar!$D$4:$F$4,0))</f>
        <v>0.1</v>
      </c>
      <c r="P501" s="2" t="s">
        <v>1266</v>
      </c>
      <c r="Q501" s="2" t="s">
        <v>1263</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1246</v>
      </c>
      <c r="L502" s="29" t="s">
        <v>1252</v>
      </c>
      <c r="M502" s="21" t="s">
        <v>1253</v>
      </c>
      <c r="N502" s="48">
        <v>45485</v>
      </c>
      <c r="O502" s="21">
        <f>INDEX(Auxiliar!$D$5:$F$13,MATCH(Table1[[#This Row],[Tipologia_Testes]],Auxiliar!$B$5:$B$13,0),MATCH(Table1[[#This Row],[Complexidade]],Auxiliar!$D$4:$F$4,0))</f>
        <v>2</v>
      </c>
      <c r="P502" s="2" t="s">
        <v>1266</v>
      </c>
      <c r="Q502" s="2" t="s">
        <v>1263</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1247</v>
      </c>
      <c r="L503" s="29" t="s">
        <v>1252</v>
      </c>
      <c r="M503" s="21" t="s">
        <v>1253</v>
      </c>
      <c r="N503" s="48">
        <v>45485</v>
      </c>
      <c r="O503" s="21">
        <f>INDEX(Auxiliar!$D$5:$F$13,MATCH(Table1[[#This Row],[Tipologia_Testes]],Auxiliar!$B$5:$B$13,0),MATCH(Table1[[#This Row],[Complexidade]],Auxiliar!$D$4:$F$4,0))</f>
        <v>2</v>
      </c>
      <c r="P503" s="2" t="s">
        <v>1266</v>
      </c>
      <c r="Q503" s="2" t="s">
        <v>1263</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1249</v>
      </c>
      <c r="L504" s="29" t="s">
        <v>1252</v>
      </c>
      <c r="M504" s="21" t="s">
        <v>1253</v>
      </c>
      <c r="N504" s="48">
        <v>45485</v>
      </c>
      <c r="O504" s="21">
        <f>INDEX(Auxiliar!$D$5:$F$13,MATCH(Table1[[#This Row],[Tipologia_Testes]],Auxiliar!$B$5:$B$13,0),MATCH(Table1[[#This Row],[Complexidade]],Auxiliar!$D$4:$F$4,0))</f>
        <v>0.1</v>
      </c>
      <c r="P504" s="2" t="s">
        <v>1266</v>
      </c>
      <c r="Q504" s="2" t="s">
        <v>1263</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1921</v>
      </c>
      <c r="J505" s="43">
        <f>VLOOKUP(Table1[[#This Row],[Status]],Auxiliar!$B$16:$C$24,2,0)</f>
        <v>2</v>
      </c>
      <c r="K505" s="2" t="s">
        <v>1246</v>
      </c>
      <c r="L505" s="29" t="s">
        <v>1252</v>
      </c>
      <c r="M505" s="21" t="s">
        <v>1245</v>
      </c>
      <c r="N505" s="48">
        <v>45632</v>
      </c>
      <c r="O505" s="21">
        <f>INDEX(Auxiliar!$D$5:$F$13,MATCH(Table1[[#This Row],[Tipologia_Testes]],Auxiliar!$B$5:$B$13,0),MATCH(Table1[[#This Row],[Complexidade]],Auxiliar!$D$4:$F$4,0))</f>
        <v>8</v>
      </c>
      <c r="P505" s="2"/>
      <c r="Q505" s="2"/>
      <c r="R505" s="152">
        <v>45561</v>
      </c>
      <c r="S505" s="152"/>
      <c r="T505" s="152">
        <v>45569</v>
      </c>
      <c r="U505" s="152">
        <v>45621</v>
      </c>
      <c r="V505" s="152">
        <v>45631</v>
      </c>
      <c r="W505" s="2">
        <f>VLOOKUP(Table1[[#This Row],[Status]],Auxiliar!$B$16:$D$24,3,0)*Table1[[#This Row],[Estimação (horas)]]</f>
        <v>4</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1921</v>
      </c>
      <c r="J506" s="43">
        <f>VLOOKUP(Table1[[#This Row],[Status]],Auxiliar!$B$16:$C$24,2,0)</f>
        <v>2</v>
      </c>
      <c r="K506" s="2" t="s">
        <v>1247</v>
      </c>
      <c r="L506" s="29" t="s">
        <v>1252</v>
      </c>
      <c r="M506" s="21" t="s">
        <v>1245</v>
      </c>
      <c r="N506" s="48">
        <v>45632</v>
      </c>
      <c r="O506" s="21">
        <f>INDEX(Auxiliar!$D$5:$F$13,MATCH(Table1[[#This Row],[Tipologia_Testes]],Auxiliar!$B$5:$B$13,0),MATCH(Table1[[#This Row],[Complexidade]],Auxiliar!$D$4:$F$4,0))</f>
        <v>8</v>
      </c>
      <c r="P506" s="2"/>
      <c r="Q506" s="2"/>
      <c r="R506" s="152">
        <v>45561</v>
      </c>
      <c r="S506" s="152"/>
      <c r="T506" s="152">
        <v>45569</v>
      </c>
      <c r="U506" s="152">
        <v>45621</v>
      </c>
      <c r="V506" s="152">
        <v>45631</v>
      </c>
      <c r="W506" s="2">
        <f>VLOOKUP(Table1[[#This Row],[Status]],Auxiliar!$B$16:$D$24,3,0)*Table1[[#This Row],[Estimação (horas)]]</f>
        <v>4</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1921</v>
      </c>
      <c r="J507" s="43">
        <f>VLOOKUP(Table1[[#This Row],[Status]],Auxiliar!$B$16:$C$24,2,0)</f>
        <v>2</v>
      </c>
      <c r="K507" s="2" t="s">
        <v>1249</v>
      </c>
      <c r="L507" s="29" t="s">
        <v>1252</v>
      </c>
      <c r="M507" s="21" t="s">
        <v>1245</v>
      </c>
      <c r="N507" s="48">
        <v>45632</v>
      </c>
      <c r="O507" s="21">
        <f>INDEX(Auxiliar!$D$5:$F$13,MATCH(Table1[[#This Row],[Tipologia_Testes]],Auxiliar!$B$5:$B$13,0),MATCH(Table1[[#This Row],[Complexidade]],Auxiliar!$D$4:$F$4,0))</f>
        <v>0.1</v>
      </c>
      <c r="P507" s="2"/>
      <c r="Q507" s="2"/>
      <c r="R507" s="152">
        <v>45561</v>
      </c>
      <c r="S507" s="152"/>
      <c r="T507" s="152">
        <v>45569</v>
      </c>
      <c r="U507" s="152">
        <v>45621</v>
      </c>
      <c r="V507" s="152">
        <v>45631</v>
      </c>
      <c r="W507" s="2">
        <f>VLOOKUP(Table1[[#This Row],[Status]],Auxiliar!$B$16:$D$24,3,0)*Table1[[#This Row],[Estimação (horas)]]</f>
        <v>0.05</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1921</v>
      </c>
      <c r="J508" s="43">
        <f>VLOOKUP(Table1[[#This Row],[Status]],Auxiliar!$B$16:$C$24,2,0)</f>
        <v>2</v>
      </c>
      <c r="K508" s="2" t="s">
        <v>1246</v>
      </c>
      <c r="L508" s="29" t="s">
        <v>1252</v>
      </c>
      <c r="M508" s="21" t="s">
        <v>1245</v>
      </c>
      <c r="N508" s="48">
        <v>45632</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4</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1921</v>
      </c>
      <c r="J509" s="43">
        <f>VLOOKUP(Table1[[#This Row],[Status]],Auxiliar!$B$16:$C$24,2,0)</f>
        <v>2</v>
      </c>
      <c r="K509" s="2" t="s">
        <v>1247</v>
      </c>
      <c r="L509" s="29" t="s">
        <v>1252</v>
      </c>
      <c r="M509" s="21" t="s">
        <v>1245</v>
      </c>
      <c r="N509" s="48">
        <v>45632</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4</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1921</v>
      </c>
      <c r="J510" s="43">
        <f>VLOOKUP(Table1[[#This Row],[Status]],Auxiliar!$B$16:$C$24,2,0)</f>
        <v>2</v>
      </c>
      <c r="K510" s="2" t="s">
        <v>1249</v>
      </c>
      <c r="L510" s="29" t="s">
        <v>1252</v>
      </c>
      <c r="M510" s="21" t="s">
        <v>1245</v>
      </c>
      <c r="N510" s="48">
        <v>45632</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0.05</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1921</v>
      </c>
      <c r="J511" s="43">
        <f>VLOOKUP(Table1[[#This Row],[Status]],Auxiliar!$B$16:$C$24,2,0)</f>
        <v>2</v>
      </c>
      <c r="K511" s="2" t="s">
        <v>1246</v>
      </c>
      <c r="L511" s="29" t="s">
        <v>1244</v>
      </c>
      <c r="M511" s="21" t="s">
        <v>1253</v>
      </c>
      <c r="N511" s="48">
        <v>45632</v>
      </c>
      <c r="O511" s="21">
        <f>INDEX(Auxiliar!$D$5:$F$13,MATCH(Table1[[#This Row],[Tipologia_Testes]],Auxiliar!$B$5:$B$13,0),MATCH(Table1[[#This Row],[Complexidade]],Auxiliar!$D$4:$F$4,0))</f>
        <v>2</v>
      </c>
      <c r="P511" s="23" t="s">
        <v>1276</v>
      </c>
      <c r="Q511" s="2"/>
      <c r="R511" s="152">
        <v>45561</v>
      </c>
      <c r="S511" s="152"/>
      <c r="T511" s="152">
        <v>45569</v>
      </c>
      <c r="U511" s="152">
        <v>45621</v>
      </c>
      <c r="V511" s="152">
        <v>45631</v>
      </c>
      <c r="W511" s="2">
        <f>VLOOKUP(Table1[[#This Row],[Status]],Auxiliar!$B$16:$D$24,3,0)*Table1[[#This Row],[Estimação (horas)]]</f>
        <v>1</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1921</v>
      </c>
      <c r="J512" s="43">
        <f>VLOOKUP(Table1[[#This Row],[Status]],Auxiliar!$B$16:$C$24,2,0)</f>
        <v>2</v>
      </c>
      <c r="K512" s="2" t="s">
        <v>1247</v>
      </c>
      <c r="L512" s="29" t="s">
        <v>1244</v>
      </c>
      <c r="M512" s="21" t="s">
        <v>1253</v>
      </c>
      <c r="N512" s="48">
        <v>45632</v>
      </c>
      <c r="O512" s="21">
        <f>INDEX(Auxiliar!$D$5:$F$13,MATCH(Table1[[#This Row],[Tipologia_Testes]],Auxiliar!$B$5:$B$13,0),MATCH(Table1[[#This Row],[Complexidade]],Auxiliar!$D$4:$F$4,0))</f>
        <v>2</v>
      </c>
      <c r="P512" s="23" t="s">
        <v>1276</v>
      </c>
      <c r="Q512" s="2"/>
      <c r="R512" s="152">
        <v>45561</v>
      </c>
      <c r="S512" s="152"/>
      <c r="T512" s="152">
        <v>45569</v>
      </c>
      <c r="U512" s="152">
        <v>45621</v>
      </c>
      <c r="V512" s="152">
        <v>45631</v>
      </c>
      <c r="W512" s="2">
        <f>VLOOKUP(Table1[[#This Row],[Status]],Auxiliar!$B$16:$D$24,3,0)*Table1[[#This Row],[Estimação (horas)]]</f>
        <v>1</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1921</v>
      </c>
      <c r="J513" s="43">
        <f>VLOOKUP(Table1[[#This Row],[Status]],Auxiliar!$B$16:$C$24,2,0)</f>
        <v>2</v>
      </c>
      <c r="K513" s="2" t="s">
        <v>1249</v>
      </c>
      <c r="L513" s="29" t="s">
        <v>1244</v>
      </c>
      <c r="M513" s="21" t="s">
        <v>1253</v>
      </c>
      <c r="N513" s="48">
        <v>45632</v>
      </c>
      <c r="O513" s="21">
        <f>INDEX(Auxiliar!$D$5:$F$13,MATCH(Table1[[#This Row],[Tipologia_Testes]],Auxiliar!$B$5:$B$13,0),MATCH(Table1[[#This Row],[Complexidade]],Auxiliar!$D$4:$F$4,0))</f>
        <v>0.1</v>
      </c>
      <c r="P513" s="23" t="s">
        <v>1276</v>
      </c>
      <c r="Q513" s="2"/>
      <c r="R513" s="152">
        <v>45561</v>
      </c>
      <c r="S513" s="152"/>
      <c r="T513" s="152">
        <v>45569</v>
      </c>
      <c r="U513" s="152">
        <v>45621</v>
      </c>
      <c r="V513" s="152">
        <v>45631</v>
      </c>
      <c r="W513" s="2">
        <f>VLOOKUP(Table1[[#This Row],[Status]],Auxiliar!$B$16:$D$24,3,0)*Table1[[#This Row],[Estimação (horas)]]</f>
        <v>0.05</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1921</v>
      </c>
      <c r="J514" s="43">
        <f>VLOOKUP(Table1[[#This Row],[Status]],Auxiliar!$B$16:$C$24,2,0)</f>
        <v>2</v>
      </c>
      <c r="K514" s="2" t="s">
        <v>1246</v>
      </c>
      <c r="L514" s="29" t="s">
        <v>1244</v>
      </c>
      <c r="M514" s="21" t="s">
        <v>1253</v>
      </c>
      <c r="N514" s="48">
        <v>45632</v>
      </c>
      <c r="O514" s="21">
        <f>INDEX(Auxiliar!$D$5:$F$13,MATCH(Table1[[#This Row],[Tipologia_Testes]],Auxiliar!$B$5:$B$13,0),MATCH(Table1[[#This Row],[Complexidade]],Auxiliar!$D$4:$F$4,0))</f>
        <v>2</v>
      </c>
      <c r="P514" s="23" t="s">
        <v>1276</v>
      </c>
      <c r="Q514" s="2"/>
      <c r="R514" s="152">
        <v>45561</v>
      </c>
      <c r="S514" s="152"/>
      <c r="T514" s="152">
        <v>45569</v>
      </c>
      <c r="U514" s="152">
        <v>45621</v>
      </c>
      <c r="V514" s="152">
        <v>45631</v>
      </c>
      <c r="W514" s="2">
        <f>VLOOKUP(Table1[[#This Row],[Status]],Auxiliar!$B$16:$D$24,3,0)*Table1[[#This Row],[Estimação (horas)]]</f>
        <v>1</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1921</v>
      </c>
      <c r="J515" s="43">
        <f>VLOOKUP(Table1[[#This Row],[Status]],Auxiliar!$B$16:$C$24,2,0)</f>
        <v>2</v>
      </c>
      <c r="K515" s="2" t="s">
        <v>1247</v>
      </c>
      <c r="L515" s="29" t="s">
        <v>1244</v>
      </c>
      <c r="M515" s="21" t="s">
        <v>1253</v>
      </c>
      <c r="N515" s="48">
        <v>45632</v>
      </c>
      <c r="O515" s="21">
        <f>INDEX(Auxiliar!$D$5:$F$13,MATCH(Table1[[#This Row],[Tipologia_Testes]],Auxiliar!$B$5:$B$13,0),MATCH(Table1[[#This Row],[Complexidade]],Auxiliar!$D$4:$F$4,0))</f>
        <v>2</v>
      </c>
      <c r="P515" s="23" t="s">
        <v>1276</v>
      </c>
      <c r="Q515" s="2"/>
      <c r="R515" s="152">
        <v>45561</v>
      </c>
      <c r="S515" s="152"/>
      <c r="T515" s="152">
        <v>45569</v>
      </c>
      <c r="U515" s="152">
        <v>45621</v>
      </c>
      <c r="V515" s="152">
        <v>45631</v>
      </c>
      <c r="W515" s="2">
        <f>VLOOKUP(Table1[[#This Row],[Status]],Auxiliar!$B$16:$D$24,3,0)*Table1[[#This Row],[Estimação (horas)]]</f>
        <v>1</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1921</v>
      </c>
      <c r="J516" s="43">
        <f>VLOOKUP(Table1[[#This Row],[Status]],Auxiliar!$B$16:$C$24,2,0)</f>
        <v>2</v>
      </c>
      <c r="K516" s="2" t="s">
        <v>1249</v>
      </c>
      <c r="L516" s="29" t="s">
        <v>1244</v>
      </c>
      <c r="M516" s="21" t="s">
        <v>1253</v>
      </c>
      <c r="N516" s="48">
        <v>45632</v>
      </c>
      <c r="O516" s="21">
        <f>INDEX(Auxiliar!$D$5:$F$13,MATCH(Table1[[#This Row],[Tipologia_Testes]],Auxiliar!$B$5:$B$13,0),MATCH(Table1[[#This Row],[Complexidade]],Auxiliar!$D$4:$F$4,0))</f>
        <v>0.1</v>
      </c>
      <c r="P516" s="23" t="s">
        <v>1276</v>
      </c>
      <c r="Q516" s="2"/>
      <c r="R516" s="152">
        <v>45561</v>
      </c>
      <c r="S516" s="152"/>
      <c r="T516" s="152">
        <v>45569</v>
      </c>
      <c r="U516" s="152">
        <v>45621</v>
      </c>
      <c r="V516" s="152">
        <v>45631</v>
      </c>
      <c r="W516" s="2">
        <f>VLOOKUP(Table1[[#This Row],[Status]],Auxiliar!$B$16:$D$24,3,0)*Table1[[#This Row],[Estimação (horas)]]</f>
        <v>0.05</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1246</v>
      </c>
      <c r="L517" s="29" t="s">
        <v>1244</v>
      </c>
      <c r="M517" s="21" t="s">
        <v>1253</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1247</v>
      </c>
      <c r="L518" s="29" t="s">
        <v>1244</v>
      </c>
      <c r="M518" s="21" t="s">
        <v>1253</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1249</v>
      </c>
      <c r="L519" s="29" t="s">
        <v>1244</v>
      </c>
      <c r="M519" s="21" t="s">
        <v>1253</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1246</v>
      </c>
      <c r="L520" s="29" t="s">
        <v>1244</v>
      </c>
      <c r="M520" s="21" t="s">
        <v>1253</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1247</v>
      </c>
      <c r="L521" s="29" t="s">
        <v>1244</v>
      </c>
      <c r="M521" s="21" t="s">
        <v>1253</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1249</v>
      </c>
      <c r="L522" s="29" t="s">
        <v>1244</v>
      </c>
      <c r="M522" s="21" t="s">
        <v>1253</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1246</v>
      </c>
      <c r="L523" s="29" t="s">
        <v>1252</v>
      </c>
      <c r="M523" s="21" t="s">
        <v>1253</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1247</v>
      </c>
      <c r="L524" s="29" t="s">
        <v>1252</v>
      </c>
      <c r="M524" s="21" t="s">
        <v>1253</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1249</v>
      </c>
      <c r="L525" s="29" t="s">
        <v>1252</v>
      </c>
      <c r="M525" s="21" t="s">
        <v>1253</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1246</v>
      </c>
      <c r="L526" s="29" t="s">
        <v>1252</v>
      </c>
      <c r="M526" s="21" t="s">
        <v>1253</v>
      </c>
      <c r="N526" s="48">
        <v>45485</v>
      </c>
      <c r="O526" s="21">
        <f>INDEX(Auxiliar!$D$5:$F$13,MATCH(Table1[[#This Row],[Tipologia_Testes]],Auxiliar!$B$5:$B$13,0),MATCH(Table1[[#This Row],[Complexidade]],Auxiliar!$D$4:$F$4,0))</f>
        <v>2</v>
      </c>
      <c r="P526" s="2"/>
      <c r="Q526" s="2" t="s">
        <v>1263</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1247</v>
      </c>
      <c r="L527" s="29" t="s">
        <v>1252</v>
      </c>
      <c r="M527" s="21" t="s">
        <v>1253</v>
      </c>
      <c r="N527" s="48">
        <v>45485</v>
      </c>
      <c r="O527" s="21">
        <f>INDEX(Auxiliar!$D$5:$F$13,MATCH(Table1[[#This Row],[Tipologia_Testes]],Auxiliar!$B$5:$B$13,0),MATCH(Table1[[#This Row],[Complexidade]],Auxiliar!$D$4:$F$4,0))</f>
        <v>2</v>
      </c>
      <c r="P527" s="2"/>
      <c r="Q527" s="2" t="s">
        <v>1263</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1249</v>
      </c>
      <c r="L528" s="29" t="s">
        <v>1252</v>
      </c>
      <c r="M528" s="21" t="s">
        <v>1253</v>
      </c>
      <c r="N528" s="48">
        <v>45485</v>
      </c>
      <c r="O528" s="21">
        <f>INDEX(Auxiliar!$D$5:$F$13,MATCH(Table1[[#This Row],[Tipologia_Testes]],Auxiliar!$B$5:$B$13,0),MATCH(Table1[[#This Row],[Complexidade]],Auxiliar!$D$4:$F$4,0))</f>
        <v>0.1</v>
      </c>
      <c r="P528" s="2"/>
      <c r="Q528" s="2" t="s">
        <v>1263</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1246</v>
      </c>
      <c r="L529" s="29" t="s">
        <v>1244</v>
      </c>
      <c r="M529" s="21" t="s">
        <v>1254</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1247</v>
      </c>
      <c r="L530" s="29" t="s">
        <v>1244</v>
      </c>
      <c r="M530" s="21" t="s">
        <v>1254</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1249</v>
      </c>
      <c r="L531" s="29" t="s">
        <v>1244</v>
      </c>
      <c r="M531" s="21" t="s">
        <v>1254</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1246</v>
      </c>
      <c r="L532" s="29" t="s">
        <v>1244</v>
      </c>
      <c r="M532" s="21" t="s">
        <v>1254</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1247</v>
      </c>
      <c r="L533" s="29" t="s">
        <v>1244</v>
      </c>
      <c r="M533" s="21" t="s">
        <v>1254</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1249</v>
      </c>
      <c r="L534" s="29" t="s">
        <v>1244</v>
      </c>
      <c r="M534" s="21" t="s">
        <v>1254</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1246</v>
      </c>
      <c r="L535" s="29" t="s">
        <v>1252</v>
      </c>
      <c r="M535" s="21" t="s">
        <v>1253</v>
      </c>
      <c r="N535" s="48">
        <v>45485</v>
      </c>
      <c r="O535" s="21">
        <f>INDEX(Auxiliar!$D$5:$F$13,MATCH(Table1[[#This Row],[Tipologia_Testes]],Auxiliar!$B$5:$B$13,0),MATCH(Table1[[#This Row],[Complexidade]],Auxiliar!$D$4:$F$4,0))</f>
        <v>2</v>
      </c>
      <c r="P535" s="23"/>
      <c r="Q535" s="2" t="s">
        <v>1263</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1247</v>
      </c>
      <c r="L536" s="29" t="s">
        <v>1252</v>
      </c>
      <c r="M536" s="21" t="s">
        <v>1253</v>
      </c>
      <c r="N536" s="48">
        <v>45485</v>
      </c>
      <c r="O536" s="21">
        <f>INDEX(Auxiliar!$D$5:$F$13,MATCH(Table1[[#This Row],[Tipologia_Testes]],Auxiliar!$B$5:$B$13,0),MATCH(Table1[[#This Row],[Complexidade]],Auxiliar!$D$4:$F$4,0))</f>
        <v>2</v>
      </c>
      <c r="P536" s="23"/>
      <c r="Q536" s="2" t="s">
        <v>1263</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1249</v>
      </c>
      <c r="L537" s="29" t="s">
        <v>1252</v>
      </c>
      <c r="M537" s="21" t="s">
        <v>1253</v>
      </c>
      <c r="N537" s="48">
        <v>45485</v>
      </c>
      <c r="O537" s="21">
        <f>INDEX(Auxiliar!$D$5:$F$13,MATCH(Table1[[#This Row],[Tipologia_Testes]],Auxiliar!$B$5:$B$13,0),MATCH(Table1[[#This Row],[Complexidade]],Auxiliar!$D$4:$F$4,0))</f>
        <v>0.1</v>
      </c>
      <c r="P537" s="23"/>
      <c r="Q537" s="2" t="s">
        <v>1263</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1246</v>
      </c>
      <c r="L538" s="29" t="s">
        <v>1244</v>
      </c>
      <c r="M538" s="21" t="s">
        <v>1253</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1247</v>
      </c>
      <c r="L539" s="29" t="s">
        <v>1244</v>
      </c>
      <c r="M539" s="21" t="s">
        <v>1253</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1249</v>
      </c>
      <c r="L540" s="29" t="s">
        <v>1244</v>
      </c>
      <c r="M540" s="21" t="s">
        <v>1253</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1246</v>
      </c>
      <c r="L541" s="29" t="s">
        <v>1244</v>
      </c>
      <c r="M541" s="21" t="s">
        <v>1253</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1247</v>
      </c>
      <c r="L542" s="29" t="s">
        <v>1244</v>
      </c>
      <c r="M542" s="21" t="s">
        <v>1253</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1249</v>
      </c>
      <c r="L543" s="29" t="s">
        <v>1244</v>
      </c>
      <c r="M543" s="21" t="s">
        <v>1253</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1246</v>
      </c>
      <c r="L544" s="29" t="s">
        <v>1244</v>
      </c>
      <c r="M544" s="21" t="s">
        <v>1253</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1247</v>
      </c>
      <c r="L545" s="29" t="s">
        <v>1244</v>
      </c>
      <c r="M545" s="21" t="s">
        <v>1253</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1249</v>
      </c>
      <c r="L546" s="29" t="s">
        <v>1244</v>
      </c>
      <c r="M546" s="21" t="s">
        <v>1253</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1243</v>
      </c>
      <c r="L547" s="29" t="s">
        <v>1252</v>
      </c>
      <c r="M547" s="21" t="s">
        <v>1254</v>
      </c>
      <c r="N547" s="48">
        <v>45561</v>
      </c>
      <c r="O547" s="21">
        <f>INDEX(Auxiliar!$D$5:$F$13,MATCH(Table1[[#This Row],[Tipologia_Testes]],Auxiliar!$B$5:$B$13,0),MATCH(Table1[[#This Row],[Complexidade]],Auxiliar!$D$4:$F$4,0))</f>
        <v>8</v>
      </c>
      <c r="P547" s="23" t="s">
        <v>1277</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613</v>
      </c>
      <c r="J548" s="43">
        <f>VLOOKUP(Table1[[#This Row],[Status]],Auxiliar!$B$16:$C$24,2,0)</f>
        <v>1</v>
      </c>
      <c r="K548" s="2" t="s">
        <v>1246</v>
      </c>
      <c r="L548" s="29" t="s">
        <v>1252</v>
      </c>
      <c r="M548" s="21" t="s">
        <v>1245</v>
      </c>
      <c r="N548" s="48">
        <v>45642</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8</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613</v>
      </c>
      <c r="J549" s="43">
        <f>VLOOKUP(Table1[[#This Row],[Status]],Auxiliar!$B$16:$C$24,2,0)</f>
        <v>1</v>
      </c>
      <c r="K549" s="2" t="s">
        <v>1247</v>
      </c>
      <c r="L549" s="29" t="s">
        <v>1252</v>
      </c>
      <c r="M549" s="21" t="s">
        <v>1245</v>
      </c>
      <c r="N549" s="48">
        <v>45642</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8</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613</v>
      </c>
      <c r="J550" s="43">
        <f>VLOOKUP(Table1[[#This Row],[Status]],Auxiliar!$B$16:$C$24,2,0)</f>
        <v>1</v>
      </c>
      <c r="K550" s="2" t="s">
        <v>1249</v>
      </c>
      <c r="L550" s="29" t="s">
        <v>1252</v>
      </c>
      <c r="M550" s="21" t="s">
        <v>1245</v>
      </c>
      <c r="N550" s="48">
        <v>45642</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0.1</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613</v>
      </c>
      <c r="J551" s="43">
        <f>VLOOKUP(Table1[[#This Row],[Status]],Auxiliar!$B$16:$C$24,2,0)</f>
        <v>1</v>
      </c>
      <c r="K551" s="2" t="s">
        <v>1246</v>
      </c>
      <c r="L551" s="29" t="s">
        <v>1252</v>
      </c>
      <c r="M551" s="21" t="s">
        <v>1245</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613</v>
      </c>
      <c r="J552" s="43">
        <f>VLOOKUP(Table1[[#This Row],[Status]],Auxiliar!$B$16:$C$24,2,0)</f>
        <v>1</v>
      </c>
      <c r="K552" s="2" t="s">
        <v>1247</v>
      </c>
      <c r="L552" s="29" t="s">
        <v>1252</v>
      </c>
      <c r="M552" s="21" t="s">
        <v>1245</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613</v>
      </c>
      <c r="J553" s="43">
        <f>VLOOKUP(Table1[[#This Row],[Status]],Auxiliar!$B$16:$C$24,2,0)</f>
        <v>1</v>
      </c>
      <c r="K553" s="2" t="s">
        <v>1249</v>
      </c>
      <c r="L553" s="29" t="s">
        <v>1252</v>
      </c>
      <c r="M553" s="21" t="s">
        <v>1245</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613</v>
      </c>
      <c r="J554" s="43">
        <f>VLOOKUP(Table1[[#This Row],[Status]],Auxiliar!$B$16:$C$24,2,0)</f>
        <v>1</v>
      </c>
      <c r="K554" s="2" t="s">
        <v>1246</v>
      </c>
      <c r="L554" s="29" t="s">
        <v>1252</v>
      </c>
      <c r="M554" s="21" t="s">
        <v>1245</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613</v>
      </c>
      <c r="J555" s="43">
        <f>VLOOKUP(Table1[[#This Row],[Status]],Auxiliar!$B$16:$C$24,2,0)</f>
        <v>1</v>
      </c>
      <c r="K555" s="2" t="s">
        <v>1247</v>
      </c>
      <c r="L555" s="29" t="s">
        <v>1252</v>
      </c>
      <c r="M555" s="21" t="s">
        <v>1245</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613</v>
      </c>
      <c r="J556" s="43">
        <f>VLOOKUP(Table1[[#This Row],[Status]],Auxiliar!$B$16:$C$24,2,0)</f>
        <v>1</v>
      </c>
      <c r="K556" s="2" t="s">
        <v>1249</v>
      </c>
      <c r="L556" s="29" t="s">
        <v>1252</v>
      </c>
      <c r="M556" s="21" t="s">
        <v>1245</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613</v>
      </c>
      <c r="J557" s="43">
        <f>VLOOKUP(Table1[[#This Row],[Status]],Auxiliar!$B$16:$C$24,2,0)</f>
        <v>1</v>
      </c>
      <c r="K557" s="2" t="s">
        <v>1246</v>
      </c>
      <c r="L557" s="29" t="s">
        <v>1252</v>
      </c>
      <c r="M557" s="21" t="s">
        <v>1245</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613</v>
      </c>
      <c r="J558" s="43">
        <f>VLOOKUP(Table1[[#This Row],[Status]],Auxiliar!$B$16:$C$24,2,0)</f>
        <v>1</v>
      </c>
      <c r="K558" s="2" t="s">
        <v>1247</v>
      </c>
      <c r="L558" s="29" t="s">
        <v>1252</v>
      </c>
      <c r="M558" s="21" t="s">
        <v>1245</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613</v>
      </c>
      <c r="J559" s="43">
        <f>VLOOKUP(Table1[[#This Row],[Status]],Auxiliar!$B$16:$C$24,2,0)</f>
        <v>1</v>
      </c>
      <c r="K559" s="2" t="s">
        <v>1249</v>
      </c>
      <c r="L559" s="29" t="s">
        <v>1252</v>
      </c>
      <c r="M559" s="21" t="s">
        <v>1245</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613</v>
      </c>
      <c r="J560" s="43">
        <f>VLOOKUP(Table1[[#This Row],[Status]],Auxiliar!$B$16:$C$24,2,0)</f>
        <v>1</v>
      </c>
      <c r="K560" s="2" t="s">
        <v>1246</v>
      </c>
      <c r="L560" s="29" t="s">
        <v>1252</v>
      </c>
      <c r="M560" s="21" t="s">
        <v>1245</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613</v>
      </c>
      <c r="J561" s="43">
        <f>VLOOKUP(Table1[[#This Row],[Status]],Auxiliar!$B$16:$C$24,2,0)</f>
        <v>1</v>
      </c>
      <c r="K561" s="2" t="s">
        <v>1247</v>
      </c>
      <c r="L561" s="29" t="s">
        <v>1252</v>
      </c>
      <c r="M561" s="21" t="s">
        <v>1245</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613</v>
      </c>
      <c r="J562" s="43">
        <f>VLOOKUP(Table1[[#This Row],[Status]],Auxiliar!$B$16:$C$24,2,0)</f>
        <v>1</v>
      </c>
      <c r="K562" s="2" t="s">
        <v>1249</v>
      </c>
      <c r="L562" s="29" t="s">
        <v>1252</v>
      </c>
      <c r="M562" s="21" t="s">
        <v>1245</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613</v>
      </c>
      <c r="J563" s="43">
        <f>VLOOKUP(Table1[[#This Row],[Status]],Auxiliar!$B$16:$C$24,2,0)</f>
        <v>1</v>
      </c>
      <c r="K563" s="2" t="s">
        <v>1246</v>
      </c>
      <c r="L563" s="29" t="s">
        <v>1252</v>
      </c>
      <c r="M563" s="21" t="s">
        <v>1245</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613</v>
      </c>
      <c r="J564" s="43">
        <f>VLOOKUP(Table1[[#This Row],[Status]],Auxiliar!$B$16:$C$24,2,0)</f>
        <v>1</v>
      </c>
      <c r="K564" s="2" t="s">
        <v>1247</v>
      </c>
      <c r="L564" s="29" t="s">
        <v>1252</v>
      </c>
      <c r="M564" s="21" t="s">
        <v>1245</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613</v>
      </c>
      <c r="J565" s="43">
        <f>VLOOKUP(Table1[[#This Row],[Status]],Auxiliar!$B$16:$C$24,2,0)</f>
        <v>1</v>
      </c>
      <c r="K565" s="2" t="s">
        <v>1249</v>
      </c>
      <c r="L565" s="29" t="s">
        <v>1252</v>
      </c>
      <c r="M565" s="21" t="s">
        <v>1245</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613</v>
      </c>
      <c r="J566" s="43">
        <f>VLOOKUP(Table1[[#This Row],[Status]],Auxiliar!$B$16:$C$24,2,0)</f>
        <v>1</v>
      </c>
      <c r="K566" s="2" t="s">
        <v>1246</v>
      </c>
      <c r="L566" s="29" t="s">
        <v>1252</v>
      </c>
      <c r="M566" s="21" t="s">
        <v>1245</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613</v>
      </c>
      <c r="J567" s="43">
        <f>VLOOKUP(Table1[[#This Row],[Status]],Auxiliar!$B$16:$C$24,2,0)</f>
        <v>1</v>
      </c>
      <c r="K567" s="2" t="s">
        <v>1247</v>
      </c>
      <c r="L567" s="29" t="s">
        <v>1252</v>
      </c>
      <c r="M567" s="21" t="s">
        <v>1245</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613</v>
      </c>
      <c r="J568" s="43">
        <f>VLOOKUP(Table1[[#This Row],[Status]],Auxiliar!$B$16:$C$24,2,0)</f>
        <v>1</v>
      </c>
      <c r="K568" s="2" t="s">
        <v>1249</v>
      </c>
      <c r="L568" s="29" t="s">
        <v>1252</v>
      </c>
      <c r="M568" s="21" t="s">
        <v>1245</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613</v>
      </c>
      <c r="J569" s="43">
        <f>VLOOKUP(Table1[[#This Row],[Status]],Auxiliar!$B$16:$C$24,2,0)</f>
        <v>1</v>
      </c>
      <c r="K569" s="2" t="s">
        <v>1246</v>
      </c>
      <c r="L569" s="29" t="s">
        <v>1252</v>
      </c>
      <c r="M569" s="21" t="s">
        <v>1245</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613</v>
      </c>
      <c r="J570" s="43">
        <f>VLOOKUP(Table1[[#This Row],[Status]],Auxiliar!$B$16:$C$24,2,0)</f>
        <v>1</v>
      </c>
      <c r="K570" s="2" t="s">
        <v>1247</v>
      </c>
      <c r="L570" s="29" t="s">
        <v>1252</v>
      </c>
      <c r="M570" s="21" t="s">
        <v>1245</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613</v>
      </c>
      <c r="J571" s="43">
        <f>VLOOKUP(Table1[[#This Row],[Status]],Auxiliar!$B$16:$C$24,2,0)</f>
        <v>1</v>
      </c>
      <c r="K571" s="2" t="s">
        <v>1249</v>
      </c>
      <c r="L571" s="29" t="s">
        <v>1252</v>
      </c>
      <c r="M571" s="21" t="s">
        <v>1245</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613</v>
      </c>
      <c r="J572" s="43">
        <f>VLOOKUP(Table1[[#This Row],[Status]],Auxiliar!$B$16:$C$24,2,0)</f>
        <v>1</v>
      </c>
      <c r="K572" s="2" t="s">
        <v>1246</v>
      </c>
      <c r="L572" s="29" t="s">
        <v>1252</v>
      </c>
      <c r="M572" s="21" t="s">
        <v>1245</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613</v>
      </c>
      <c r="J573" s="43">
        <f>VLOOKUP(Table1[[#This Row],[Status]],Auxiliar!$B$16:$C$24,2,0)</f>
        <v>1</v>
      </c>
      <c r="K573" s="2" t="s">
        <v>1247</v>
      </c>
      <c r="L573" s="29" t="s">
        <v>1252</v>
      </c>
      <c r="M573" s="21" t="s">
        <v>1245</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613</v>
      </c>
      <c r="J574" s="43">
        <f>VLOOKUP(Table1[[#This Row],[Status]],Auxiliar!$B$16:$C$24,2,0)</f>
        <v>1</v>
      </c>
      <c r="K574" s="2" t="s">
        <v>1249</v>
      </c>
      <c r="L574" s="29" t="s">
        <v>1252</v>
      </c>
      <c r="M574" s="21" t="s">
        <v>1245</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613</v>
      </c>
      <c r="J575" s="43">
        <f>VLOOKUP(Table1[[#This Row],[Status]],Auxiliar!$B$16:$C$24,2,0)</f>
        <v>1</v>
      </c>
      <c r="K575" s="2" t="s">
        <v>1246</v>
      </c>
      <c r="L575" s="29" t="s">
        <v>1252</v>
      </c>
      <c r="M575" s="21" t="s">
        <v>1245</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613</v>
      </c>
      <c r="J576" s="43">
        <f>VLOOKUP(Table1[[#This Row],[Status]],Auxiliar!$B$16:$C$24,2,0)</f>
        <v>1</v>
      </c>
      <c r="K576" s="2" t="s">
        <v>1247</v>
      </c>
      <c r="L576" s="29" t="s">
        <v>1252</v>
      </c>
      <c r="M576" s="21" t="s">
        <v>1245</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613</v>
      </c>
      <c r="J577" s="43">
        <f>VLOOKUP(Table1[[#This Row],[Status]],Auxiliar!$B$16:$C$24,2,0)</f>
        <v>1</v>
      </c>
      <c r="K577" s="2" t="s">
        <v>1249</v>
      </c>
      <c r="L577" s="29" t="s">
        <v>1252</v>
      </c>
      <c r="M577" s="21" t="s">
        <v>1245</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613</v>
      </c>
      <c r="J578" s="43">
        <f>VLOOKUP(Table1[[#This Row],[Status]],Auxiliar!$B$16:$C$24,2,0)</f>
        <v>1</v>
      </c>
      <c r="K578" s="2" t="s">
        <v>1246</v>
      </c>
      <c r="L578" s="29" t="s">
        <v>1252</v>
      </c>
      <c r="M578" s="21" t="s">
        <v>1245</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613</v>
      </c>
      <c r="J579" s="43">
        <f>VLOOKUP(Table1[[#This Row],[Status]],Auxiliar!$B$16:$C$24,2,0)</f>
        <v>1</v>
      </c>
      <c r="K579" s="2" t="s">
        <v>1247</v>
      </c>
      <c r="L579" s="29" t="s">
        <v>1252</v>
      </c>
      <c r="M579" s="21" t="s">
        <v>1245</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613</v>
      </c>
      <c r="J580" s="43">
        <f>VLOOKUP(Table1[[#This Row],[Status]],Auxiliar!$B$16:$C$24,2,0)</f>
        <v>1</v>
      </c>
      <c r="K580" s="2" t="s">
        <v>1249</v>
      </c>
      <c r="L580" s="29" t="s">
        <v>1252</v>
      </c>
      <c r="M580" s="21" t="s">
        <v>1245</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613</v>
      </c>
      <c r="J581" s="43">
        <f>VLOOKUP(Table1[[#This Row],[Status]],Auxiliar!$B$16:$C$24,2,0)</f>
        <v>1</v>
      </c>
      <c r="K581" s="2" t="s">
        <v>1246</v>
      </c>
      <c r="L581" s="29" t="s">
        <v>1252</v>
      </c>
      <c r="M581" s="21" t="s">
        <v>1245</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613</v>
      </c>
      <c r="J582" s="43">
        <f>VLOOKUP(Table1[[#This Row],[Status]],Auxiliar!$B$16:$C$24,2,0)</f>
        <v>1</v>
      </c>
      <c r="K582" s="2" t="s">
        <v>1247</v>
      </c>
      <c r="L582" s="29" t="s">
        <v>1252</v>
      </c>
      <c r="M582" s="21" t="s">
        <v>1245</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613</v>
      </c>
      <c r="J583" s="43">
        <f>VLOOKUP(Table1[[#This Row],[Status]],Auxiliar!$B$16:$C$24,2,0)</f>
        <v>1</v>
      </c>
      <c r="K583" s="2" t="s">
        <v>1249</v>
      </c>
      <c r="L583" s="29" t="s">
        <v>1252</v>
      </c>
      <c r="M583" s="21" t="s">
        <v>1245</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613</v>
      </c>
      <c r="J584" s="43">
        <f>VLOOKUP(Table1[[#This Row],[Status]],Auxiliar!$B$16:$C$24,2,0)</f>
        <v>1</v>
      </c>
      <c r="K584" s="2" t="s">
        <v>1246</v>
      </c>
      <c r="L584" s="29" t="s">
        <v>1252</v>
      </c>
      <c r="M584" s="21" t="s">
        <v>1245</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613</v>
      </c>
      <c r="J585" s="43">
        <f>VLOOKUP(Table1[[#This Row],[Status]],Auxiliar!$B$16:$C$24,2,0)</f>
        <v>1</v>
      </c>
      <c r="K585" s="2" t="s">
        <v>1247</v>
      </c>
      <c r="L585" s="29" t="s">
        <v>1252</v>
      </c>
      <c r="M585" s="21" t="s">
        <v>1245</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613</v>
      </c>
      <c r="J586" s="43">
        <f>VLOOKUP(Table1[[#This Row],[Status]],Auxiliar!$B$16:$C$24,2,0)</f>
        <v>1</v>
      </c>
      <c r="K586" s="2" t="s">
        <v>1249</v>
      </c>
      <c r="L586" s="29" t="s">
        <v>1252</v>
      </c>
      <c r="M586" s="21" t="s">
        <v>1245</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613</v>
      </c>
      <c r="J587" s="43">
        <f>VLOOKUP(Table1[[#This Row],[Status]],Auxiliar!$B$16:$C$24,2,0)</f>
        <v>1</v>
      </c>
      <c r="K587" s="2" t="s">
        <v>1246</v>
      </c>
      <c r="L587" s="29" t="s">
        <v>1252</v>
      </c>
      <c r="M587" s="21" t="s">
        <v>1245</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613</v>
      </c>
      <c r="J588" s="43">
        <f>VLOOKUP(Table1[[#This Row],[Status]],Auxiliar!$B$16:$C$24,2,0)</f>
        <v>1</v>
      </c>
      <c r="K588" s="2" t="s">
        <v>1247</v>
      </c>
      <c r="L588" s="29" t="s">
        <v>1252</v>
      </c>
      <c r="M588" s="21" t="s">
        <v>1245</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613</v>
      </c>
      <c r="J589" s="43">
        <f>VLOOKUP(Table1[[#This Row],[Status]],Auxiliar!$B$16:$C$24,2,0)</f>
        <v>1</v>
      </c>
      <c r="K589" s="2" t="s">
        <v>1249</v>
      </c>
      <c r="L589" s="29" t="s">
        <v>1252</v>
      </c>
      <c r="M589" s="21" t="s">
        <v>1245</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1922</v>
      </c>
      <c r="J590" s="43">
        <f>VLOOKUP(Table1[[#This Row],[Status]],Auxiliar!$B$16:$C$24,2,0)</f>
        <v>3</v>
      </c>
      <c r="K590" s="2" t="s">
        <v>1246</v>
      </c>
      <c r="L590" s="29" t="s">
        <v>1244</v>
      </c>
      <c r="M590" s="21" t="s">
        <v>1245</v>
      </c>
      <c r="N590" s="48">
        <v>45301</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1922</v>
      </c>
      <c r="J591" s="43">
        <f>VLOOKUP(Table1[[#This Row],[Status]],Auxiliar!$B$16:$C$24,2,0)</f>
        <v>3</v>
      </c>
      <c r="K591" s="2" t="s">
        <v>1247</v>
      </c>
      <c r="L591" s="29" t="s">
        <v>1244</v>
      </c>
      <c r="M591" s="21" t="s">
        <v>1245</v>
      </c>
      <c r="N591" s="48">
        <v>45301</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1922</v>
      </c>
      <c r="J592" s="43">
        <f>VLOOKUP(Table1[[#This Row],[Status]],Auxiliar!$B$16:$C$24,2,0)</f>
        <v>3</v>
      </c>
      <c r="K592" s="2" t="s">
        <v>1249</v>
      </c>
      <c r="L592" s="29" t="s">
        <v>1244</v>
      </c>
      <c r="M592" s="21" t="s">
        <v>1245</v>
      </c>
      <c r="N592" s="48">
        <v>45301</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1921</v>
      </c>
      <c r="J593" s="43">
        <f>VLOOKUP(Table1[[#This Row],[Status]],Auxiliar!$B$16:$C$24,2,0)</f>
        <v>2</v>
      </c>
      <c r="K593" s="2" t="s">
        <v>1246</v>
      </c>
      <c r="L593" s="29" t="s">
        <v>1252</v>
      </c>
      <c r="M593" s="21" t="s">
        <v>1254</v>
      </c>
      <c r="N593" s="48">
        <v>45667</v>
      </c>
      <c r="O593" s="21">
        <f>INDEX(Auxiliar!$D$5:$F$13,MATCH(Table1[[#This Row],[Tipologia_Testes]],Auxiliar!$B$5:$B$13,0),MATCH(Table1[[#This Row],[Complexidade]],Auxiliar!$D$4:$F$4,0))</f>
        <v>4</v>
      </c>
      <c r="P593" s="175" t="s">
        <v>1278</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1921</v>
      </c>
      <c r="J594" s="43">
        <f>VLOOKUP(Table1[[#This Row],[Status]],Auxiliar!$B$16:$C$24,2,0)</f>
        <v>2</v>
      </c>
      <c r="K594" s="2" t="s">
        <v>1247</v>
      </c>
      <c r="L594" s="29" t="s">
        <v>1252</v>
      </c>
      <c r="M594" s="21" t="s">
        <v>1254</v>
      </c>
      <c r="N594" s="48">
        <v>45667</v>
      </c>
      <c r="O594" s="21">
        <f>INDEX(Auxiliar!$D$5:$F$13,MATCH(Table1[[#This Row],[Tipologia_Testes]],Auxiliar!$B$5:$B$13,0),MATCH(Table1[[#This Row],[Complexidade]],Auxiliar!$D$4:$F$4,0))</f>
        <v>4</v>
      </c>
      <c r="P594" s="175" t="s">
        <v>1278</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1921</v>
      </c>
      <c r="J595" s="43">
        <f>VLOOKUP(Table1[[#This Row],[Status]],Auxiliar!$B$16:$C$24,2,0)</f>
        <v>2</v>
      </c>
      <c r="K595" s="2" t="s">
        <v>1249</v>
      </c>
      <c r="L595" s="29" t="s">
        <v>1252</v>
      </c>
      <c r="M595" s="21" t="s">
        <v>1254</v>
      </c>
      <c r="N595" s="48">
        <v>45667</v>
      </c>
      <c r="O595" s="21">
        <f>INDEX(Auxiliar!$D$5:$F$13,MATCH(Table1[[#This Row],[Tipologia_Testes]],Auxiliar!$B$5:$B$13,0),MATCH(Table1[[#This Row],[Complexidade]],Auxiliar!$D$4:$F$4,0))</f>
        <v>0.1</v>
      </c>
      <c r="P595" s="175" t="s">
        <v>1278</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1921</v>
      </c>
      <c r="J596" s="43">
        <f>VLOOKUP(Table1[[#This Row],[Status]],Auxiliar!$B$16:$C$24,2,0)</f>
        <v>2</v>
      </c>
      <c r="K596" s="2" t="s">
        <v>1246</v>
      </c>
      <c r="L596" s="29" t="s">
        <v>1252</v>
      </c>
      <c r="M596" s="21" t="s">
        <v>1254</v>
      </c>
      <c r="N596" s="48">
        <v>45667</v>
      </c>
      <c r="O596" s="21">
        <f>INDEX(Auxiliar!$D$5:$F$13,MATCH(Table1[[#This Row],[Tipologia_Testes]],Auxiliar!$B$5:$B$13,0),MATCH(Table1[[#This Row],[Complexidade]],Auxiliar!$D$4:$F$4,0))</f>
        <v>4</v>
      </c>
      <c r="P596" s="175" t="s">
        <v>1278</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1921</v>
      </c>
      <c r="J597" s="43">
        <f>VLOOKUP(Table1[[#This Row],[Status]],Auxiliar!$B$16:$C$24,2,0)</f>
        <v>2</v>
      </c>
      <c r="K597" s="2" t="s">
        <v>1247</v>
      </c>
      <c r="L597" s="29" t="s">
        <v>1252</v>
      </c>
      <c r="M597" s="21" t="s">
        <v>1254</v>
      </c>
      <c r="N597" s="48">
        <v>45667</v>
      </c>
      <c r="O597" s="21">
        <f>INDEX(Auxiliar!$D$5:$F$13,MATCH(Table1[[#This Row],[Tipologia_Testes]],Auxiliar!$B$5:$B$13,0),MATCH(Table1[[#This Row],[Complexidade]],Auxiliar!$D$4:$F$4,0))</f>
        <v>4</v>
      </c>
      <c r="P597" s="175" t="s">
        <v>1278</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1921</v>
      </c>
      <c r="J598" s="43">
        <f>VLOOKUP(Table1[[#This Row],[Status]],Auxiliar!$B$16:$C$24,2,0)</f>
        <v>2</v>
      </c>
      <c r="K598" s="2" t="s">
        <v>1249</v>
      </c>
      <c r="L598" s="29" t="s">
        <v>1252</v>
      </c>
      <c r="M598" s="21" t="s">
        <v>1254</v>
      </c>
      <c r="N598" s="48">
        <v>45667</v>
      </c>
      <c r="O598" s="21">
        <f>INDEX(Auxiliar!$D$5:$F$13,MATCH(Table1[[#This Row],[Tipologia_Testes]],Auxiliar!$B$5:$B$13,0),MATCH(Table1[[#This Row],[Complexidade]],Auxiliar!$D$4:$F$4,0))</f>
        <v>0.1</v>
      </c>
      <c r="P598" s="175" t="s">
        <v>1278</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613</v>
      </c>
      <c r="J599" s="43">
        <f>VLOOKUP(Table1[[#This Row],[Status]],Auxiliar!$B$16:$C$24,2,0)</f>
        <v>1</v>
      </c>
      <c r="K599" s="2" t="s">
        <v>1246</v>
      </c>
      <c r="L599" s="29" t="s">
        <v>1244</v>
      </c>
      <c r="M599" s="21" t="s">
        <v>1245</v>
      </c>
      <c r="N599" s="48">
        <v>45649</v>
      </c>
      <c r="O599" s="21">
        <f>INDEX(Auxiliar!$D$5:$F$13,MATCH(Table1[[#This Row],[Tipologia_Testes]],Auxiliar!$B$5:$B$13,0),MATCH(Table1[[#This Row],[Complexidade]],Auxiliar!$D$4:$F$4,0))</f>
        <v>8</v>
      </c>
      <c r="P599" s="2"/>
      <c r="Q599" s="2"/>
      <c r="R599" s="152">
        <v>45569</v>
      </c>
      <c r="S599" s="152"/>
      <c r="T599" s="152">
        <v>45569</v>
      </c>
      <c r="U599" s="152">
        <v>45624</v>
      </c>
      <c r="V599" s="152">
        <v>45639</v>
      </c>
      <c r="W599" s="2">
        <f>VLOOKUP(Table1[[#This Row],[Status]],Auxiliar!$B$16:$D$24,3,0)*Table1[[#This Row],[Estimação (horas)]]</f>
        <v>8</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613</v>
      </c>
      <c r="J600" s="43">
        <f>VLOOKUP(Table1[[#This Row],[Status]],Auxiliar!$B$16:$C$24,2,0)</f>
        <v>1</v>
      </c>
      <c r="K600" s="2" t="s">
        <v>1247</v>
      </c>
      <c r="L600" s="29" t="s">
        <v>1244</v>
      </c>
      <c r="M600" s="21" t="s">
        <v>1245</v>
      </c>
      <c r="N600" s="48">
        <v>45649</v>
      </c>
      <c r="O600" s="21">
        <f>INDEX(Auxiliar!$D$5:$F$13,MATCH(Table1[[#This Row],[Tipologia_Testes]],Auxiliar!$B$5:$B$13,0),MATCH(Table1[[#This Row],[Complexidade]],Auxiliar!$D$4:$F$4,0))</f>
        <v>8</v>
      </c>
      <c r="P600" s="2"/>
      <c r="Q600" s="2"/>
      <c r="R600" s="152">
        <v>45569</v>
      </c>
      <c r="S600" s="152"/>
      <c r="T600" s="152">
        <v>45569</v>
      </c>
      <c r="U600" s="152">
        <v>45624</v>
      </c>
      <c r="V600" s="152">
        <v>45639</v>
      </c>
      <c r="W600" s="2">
        <f>VLOOKUP(Table1[[#This Row],[Status]],Auxiliar!$B$16:$D$24,3,0)*Table1[[#This Row],[Estimação (horas)]]</f>
        <v>8</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613</v>
      </c>
      <c r="J601" s="43">
        <f>VLOOKUP(Table1[[#This Row],[Status]],Auxiliar!$B$16:$C$24,2,0)</f>
        <v>1</v>
      </c>
      <c r="K601" s="2" t="s">
        <v>1249</v>
      </c>
      <c r="L601" s="29" t="s">
        <v>1244</v>
      </c>
      <c r="M601" s="21" t="s">
        <v>1245</v>
      </c>
      <c r="N601" s="48">
        <v>45649</v>
      </c>
      <c r="O601" s="21">
        <f>INDEX(Auxiliar!$D$5:$F$13,MATCH(Table1[[#This Row],[Tipologia_Testes]],Auxiliar!$B$5:$B$13,0),MATCH(Table1[[#This Row],[Complexidade]],Auxiliar!$D$4:$F$4,0))</f>
        <v>0.1</v>
      </c>
      <c r="P601" s="2"/>
      <c r="Q601" s="2"/>
      <c r="R601" s="152">
        <v>45569</v>
      </c>
      <c r="S601" s="152"/>
      <c r="T601" s="152">
        <v>45569</v>
      </c>
      <c r="U601" s="152">
        <v>45624</v>
      </c>
      <c r="V601" s="152">
        <v>45639</v>
      </c>
      <c r="W601" s="2">
        <f>VLOOKUP(Table1[[#This Row],[Status]],Auxiliar!$B$16:$D$24,3,0)*Table1[[#This Row],[Estimação (horas)]]</f>
        <v>0.1</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613</v>
      </c>
      <c r="J602" s="43">
        <f>VLOOKUP(Table1[[#This Row],[Status]],Auxiliar!$B$16:$C$24,2,0)</f>
        <v>1</v>
      </c>
      <c r="K602" s="2" t="s">
        <v>1246</v>
      </c>
      <c r="L602" s="29" t="s">
        <v>1244</v>
      </c>
      <c r="M602" s="21" t="s">
        <v>1245</v>
      </c>
      <c r="N602" s="48">
        <v>45649</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8</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613</v>
      </c>
      <c r="J603" s="43">
        <f>VLOOKUP(Table1[[#This Row],[Status]],Auxiliar!$B$16:$C$24,2,0)</f>
        <v>1</v>
      </c>
      <c r="K603" s="2" t="s">
        <v>1247</v>
      </c>
      <c r="L603" s="29" t="s">
        <v>1244</v>
      </c>
      <c r="M603" s="21" t="s">
        <v>1245</v>
      </c>
      <c r="N603" s="48">
        <v>45649</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8</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613</v>
      </c>
      <c r="J604" s="43">
        <f>VLOOKUP(Table1[[#This Row],[Status]],Auxiliar!$B$16:$C$24,2,0)</f>
        <v>1</v>
      </c>
      <c r="K604" s="2" t="s">
        <v>1249</v>
      </c>
      <c r="L604" s="29" t="s">
        <v>1244</v>
      </c>
      <c r="M604" s="21" t="s">
        <v>1245</v>
      </c>
      <c r="N604" s="48">
        <v>45649</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0.1</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613</v>
      </c>
      <c r="J605" s="43">
        <f>VLOOKUP(Table1[[#This Row],[Status]],Auxiliar!$B$16:$C$24,2,0)</f>
        <v>1</v>
      </c>
      <c r="K605" s="2" t="s">
        <v>1246</v>
      </c>
      <c r="L605" s="29" t="s">
        <v>1252</v>
      </c>
      <c r="M605" s="21" t="s">
        <v>1253</v>
      </c>
      <c r="N605" s="48">
        <v>45667</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2</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613</v>
      </c>
      <c r="J606" s="43">
        <f>VLOOKUP(Table1[[#This Row],[Status]],Auxiliar!$B$16:$C$24,2,0)</f>
        <v>1</v>
      </c>
      <c r="K606" s="2" t="s">
        <v>1247</v>
      </c>
      <c r="L606" s="29" t="s">
        <v>1252</v>
      </c>
      <c r="M606" s="21" t="s">
        <v>1253</v>
      </c>
      <c r="N606" s="48">
        <v>45667</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2</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613</v>
      </c>
      <c r="J607" s="43">
        <f>VLOOKUP(Table1[[#This Row],[Status]],Auxiliar!$B$16:$C$24,2,0)</f>
        <v>1</v>
      </c>
      <c r="K607" s="2" t="s">
        <v>1249</v>
      </c>
      <c r="L607" s="29" t="s">
        <v>1252</v>
      </c>
      <c r="M607" s="21" t="s">
        <v>1253</v>
      </c>
      <c r="N607" s="48">
        <v>45667</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0.1</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1921</v>
      </c>
      <c r="J608" s="43">
        <f>VLOOKUP(Table1[[#This Row],[Status]],Auxiliar!$B$16:$C$24,2,0)</f>
        <v>2</v>
      </c>
      <c r="K608" s="2" t="s">
        <v>1246</v>
      </c>
      <c r="L608" s="29" t="s">
        <v>1252</v>
      </c>
      <c r="M608" s="21" t="s">
        <v>1253</v>
      </c>
      <c r="N608" s="48">
        <v>45667</v>
      </c>
      <c r="O608" s="21">
        <f>INDEX(Auxiliar!$D$5:$F$13,MATCH(Table1[[#This Row],[Tipologia_Testes]],Auxiliar!$B$5:$B$13,0),MATCH(Table1[[#This Row],[Complexidade]],Auxiliar!$D$4:$F$4,0))</f>
        <v>2</v>
      </c>
      <c r="P608" s="175" t="s">
        <v>1278</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1921</v>
      </c>
      <c r="J609" s="43">
        <f>VLOOKUP(Table1[[#This Row],[Status]],Auxiliar!$B$16:$C$24,2,0)</f>
        <v>2</v>
      </c>
      <c r="K609" s="2" t="s">
        <v>1247</v>
      </c>
      <c r="L609" s="29" t="s">
        <v>1252</v>
      </c>
      <c r="M609" s="21" t="s">
        <v>1253</v>
      </c>
      <c r="N609" s="48">
        <v>45667</v>
      </c>
      <c r="O609" s="21">
        <f>INDEX(Auxiliar!$D$5:$F$13,MATCH(Table1[[#This Row],[Tipologia_Testes]],Auxiliar!$B$5:$B$13,0),MATCH(Table1[[#This Row],[Complexidade]],Auxiliar!$D$4:$F$4,0))</f>
        <v>2</v>
      </c>
      <c r="P609" s="175" t="s">
        <v>1278</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1921</v>
      </c>
      <c r="J610" s="43">
        <f>VLOOKUP(Table1[[#This Row],[Status]],Auxiliar!$B$16:$C$24,2,0)</f>
        <v>2</v>
      </c>
      <c r="K610" s="2" t="s">
        <v>1249</v>
      </c>
      <c r="L610" s="29" t="s">
        <v>1252</v>
      </c>
      <c r="M610" s="21" t="s">
        <v>1253</v>
      </c>
      <c r="N610" s="48">
        <v>45667</v>
      </c>
      <c r="O610" s="21">
        <f>INDEX(Auxiliar!$D$5:$F$13,MATCH(Table1[[#This Row],[Tipologia_Testes]],Auxiliar!$B$5:$B$13,0),MATCH(Table1[[#This Row],[Complexidade]],Auxiliar!$D$4:$F$4,0))</f>
        <v>0.1</v>
      </c>
      <c r="P610" s="175" t="s">
        <v>1278</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613</v>
      </c>
      <c r="J611" s="43">
        <f>VLOOKUP(Table1[[#This Row],[Status]],Auxiliar!$B$16:$C$24,2,0)</f>
        <v>1</v>
      </c>
      <c r="K611" s="2" t="s">
        <v>1246</v>
      </c>
      <c r="L611" s="29" t="s">
        <v>1252</v>
      </c>
      <c r="M611" s="21" t="s">
        <v>1253</v>
      </c>
      <c r="N611" s="48">
        <v>45667</v>
      </c>
      <c r="O611" s="21">
        <f>INDEX(Auxiliar!$D$5:$F$13,MATCH(Table1[[#This Row],[Tipologia_Testes]],Auxiliar!$B$5:$B$13,0),MATCH(Table1[[#This Row],[Complexidade]],Auxiliar!$D$4:$F$4,0))</f>
        <v>2</v>
      </c>
      <c r="P611" s="175" t="s">
        <v>1278</v>
      </c>
      <c r="Q611" s="2"/>
      <c r="R611" s="152">
        <v>45553</v>
      </c>
      <c r="S611" s="152"/>
      <c r="T611" s="152">
        <v>45553</v>
      </c>
      <c r="U611" s="152">
        <v>45614</v>
      </c>
      <c r="V611" s="152">
        <v>45615</v>
      </c>
      <c r="W611" s="2">
        <f>VLOOKUP(Table1[[#This Row],[Status]],Auxiliar!$B$16:$D$24,3,0)*Table1[[#This Row],[Estimação (horas)]]</f>
        <v>2</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613</v>
      </c>
      <c r="J612" s="43">
        <f>VLOOKUP(Table1[[#This Row],[Status]],Auxiliar!$B$16:$C$24,2,0)</f>
        <v>1</v>
      </c>
      <c r="K612" s="2" t="s">
        <v>1247</v>
      </c>
      <c r="L612" s="29" t="s">
        <v>1252</v>
      </c>
      <c r="M612" s="21" t="s">
        <v>1253</v>
      </c>
      <c r="N612" s="48">
        <v>45667</v>
      </c>
      <c r="O612" s="21">
        <f>INDEX(Auxiliar!$D$5:$F$13,MATCH(Table1[[#This Row],[Tipologia_Testes]],Auxiliar!$B$5:$B$13,0),MATCH(Table1[[#This Row],[Complexidade]],Auxiliar!$D$4:$F$4,0))</f>
        <v>2</v>
      </c>
      <c r="P612" s="175" t="s">
        <v>1278</v>
      </c>
      <c r="Q612" s="2"/>
      <c r="R612" s="152">
        <v>45553</v>
      </c>
      <c r="S612" s="152"/>
      <c r="T612" s="152">
        <v>45553</v>
      </c>
      <c r="U612" s="152">
        <v>45614</v>
      </c>
      <c r="V612" s="152">
        <v>45615</v>
      </c>
      <c r="W612" s="2">
        <f>VLOOKUP(Table1[[#This Row],[Status]],Auxiliar!$B$16:$D$24,3,0)*Table1[[#This Row],[Estimação (horas)]]</f>
        <v>2</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613</v>
      </c>
      <c r="J613" s="43">
        <f>VLOOKUP(Table1[[#This Row],[Status]],Auxiliar!$B$16:$C$24,2,0)</f>
        <v>1</v>
      </c>
      <c r="K613" s="2" t="s">
        <v>1249</v>
      </c>
      <c r="L613" s="29" t="s">
        <v>1252</v>
      </c>
      <c r="M613" s="21" t="s">
        <v>1253</v>
      </c>
      <c r="N613" s="48">
        <v>45667</v>
      </c>
      <c r="O613" s="21">
        <f>INDEX(Auxiliar!$D$5:$F$13,MATCH(Table1[[#This Row],[Tipologia_Testes]],Auxiliar!$B$5:$B$13,0),MATCH(Table1[[#This Row],[Complexidade]],Auxiliar!$D$4:$F$4,0))</f>
        <v>0.1</v>
      </c>
      <c r="P613" s="175" t="s">
        <v>1278</v>
      </c>
      <c r="Q613" s="2"/>
      <c r="R613" s="152">
        <v>45553</v>
      </c>
      <c r="S613" s="152"/>
      <c r="T613" s="152">
        <v>45553</v>
      </c>
      <c r="U613" s="152">
        <v>45614</v>
      </c>
      <c r="V613" s="152">
        <v>45615</v>
      </c>
      <c r="W613" s="2">
        <f>VLOOKUP(Table1[[#This Row],[Status]],Auxiliar!$B$16:$D$24,3,0)*Table1[[#This Row],[Estimação (horas)]]</f>
        <v>0.1</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613</v>
      </c>
      <c r="J614" s="43">
        <f>VLOOKUP(Table1[[#This Row],[Status]],Auxiliar!$B$16:$C$24,2,0)</f>
        <v>1</v>
      </c>
      <c r="K614" s="2" t="s">
        <v>1246</v>
      </c>
      <c r="L614" s="29" t="s">
        <v>1252</v>
      </c>
      <c r="M614" s="21" t="s">
        <v>1253</v>
      </c>
      <c r="N614" s="48">
        <v>45649</v>
      </c>
      <c r="O614" s="21">
        <f>INDEX(Auxiliar!$D$5:$F$13,MATCH(Table1[[#This Row],[Tipologia_Testes]],Auxiliar!$B$5:$B$13,0),MATCH(Table1[[#This Row],[Complexidade]],Auxiliar!$D$4:$F$4,0))</f>
        <v>2</v>
      </c>
      <c r="P614" s="2"/>
      <c r="Q614" s="2"/>
      <c r="R614" s="152">
        <v>45569</v>
      </c>
      <c r="S614" s="152"/>
      <c r="T614" s="152">
        <v>45569</v>
      </c>
      <c r="U614" s="152">
        <v>45624</v>
      </c>
      <c r="V614" s="152">
        <v>45639</v>
      </c>
      <c r="W614" s="2">
        <f>VLOOKUP(Table1[[#This Row],[Status]],Auxiliar!$B$16:$D$24,3,0)*Table1[[#This Row],[Estimação (horas)]]</f>
        <v>2</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613</v>
      </c>
      <c r="J615" s="43">
        <f>VLOOKUP(Table1[[#This Row],[Status]],Auxiliar!$B$16:$C$24,2,0)</f>
        <v>1</v>
      </c>
      <c r="K615" s="2" t="s">
        <v>1247</v>
      </c>
      <c r="L615" s="29" t="s">
        <v>1252</v>
      </c>
      <c r="M615" s="21" t="s">
        <v>1253</v>
      </c>
      <c r="N615" s="48">
        <v>45649</v>
      </c>
      <c r="O615" s="21">
        <f>INDEX(Auxiliar!$D$5:$F$13,MATCH(Table1[[#This Row],[Tipologia_Testes]],Auxiliar!$B$5:$B$13,0),MATCH(Table1[[#This Row],[Complexidade]],Auxiliar!$D$4:$F$4,0))</f>
        <v>2</v>
      </c>
      <c r="P615" s="2"/>
      <c r="Q615" s="2"/>
      <c r="R615" s="152">
        <v>45569</v>
      </c>
      <c r="S615" s="152"/>
      <c r="T615" s="152">
        <v>45569</v>
      </c>
      <c r="U615" s="152">
        <v>45624</v>
      </c>
      <c r="V615" s="152">
        <v>45639</v>
      </c>
      <c r="W615" s="2">
        <f>VLOOKUP(Table1[[#This Row],[Status]],Auxiliar!$B$16:$D$24,3,0)*Table1[[#This Row],[Estimação (horas)]]</f>
        <v>2</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613</v>
      </c>
      <c r="J616" s="43">
        <f>VLOOKUP(Table1[[#This Row],[Status]],Auxiliar!$B$16:$C$24,2,0)</f>
        <v>1</v>
      </c>
      <c r="K616" s="2" t="s">
        <v>1249</v>
      </c>
      <c r="L616" s="29" t="s">
        <v>1252</v>
      </c>
      <c r="M616" s="21" t="s">
        <v>1253</v>
      </c>
      <c r="N616" s="48">
        <v>45649</v>
      </c>
      <c r="O616" s="21">
        <f>INDEX(Auxiliar!$D$5:$F$13,MATCH(Table1[[#This Row],[Tipologia_Testes]],Auxiliar!$B$5:$B$13,0),MATCH(Table1[[#This Row],[Complexidade]],Auxiliar!$D$4:$F$4,0))</f>
        <v>0.1</v>
      </c>
      <c r="P616" s="2"/>
      <c r="Q616" s="2"/>
      <c r="R616" s="152">
        <v>45569</v>
      </c>
      <c r="S616" s="152"/>
      <c r="T616" s="152">
        <v>45569</v>
      </c>
      <c r="U616" s="152">
        <v>45624</v>
      </c>
      <c r="V616" s="152">
        <v>45639</v>
      </c>
      <c r="W616" s="2">
        <f>VLOOKUP(Table1[[#This Row],[Status]],Auxiliar!$B$16:$D$24,3,0)*Table1[[#This Row],[Estimação (horas)]]</f>
        <v>0.1</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613</v>
      </c>
      <c r="J617" s="43">
        <f>VLOOKUP(Table1[[#This Row],[Status]],Auxiliar!$B$16:$C$24,2,0)</f>
        <v>1</v>
      </c>
      <c r="K617" s="2" t="s">
        <v>1246</v>
      </c>
      <c r="L617" s="29" t="s">
        <v>1252</v>
      </c>
      <c r="M617" s="21" t="s">
        <v>1253</v>
      </c>
      <c r="N617" s="48">
        <v>45649</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2</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613</v>
      </c>
      <c r="J618" s="43">
        <f>VLOOKUP(Table1[[#This Row],[Status]],Auxiliar!$B$16:$C$24,2,0)</f>
        <v>1</v>
      </c>
      <c r="K618" s="2" t="s">
        <v>1247</v>
      </c>
      <c r="L618" s="29" t="s">
        <v>1252</v>
      </c>
      <c r="M618" s="21" t="s">
        <v>1253</v>
      </c>
      <c r="N618" s="48">
        <v>45649</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2</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613</v>
      </c>
      <c r="J619" s="43">
        <f>VLOOKUP(Table1[[#This Row],[Status]],Auxiliar!$B$16:$C$24,2,0)</f>
        <v>1</v>
      </c>
      <c r="K619" s="2" t="s">
        <v>1249</v>
      </c>
      <c r="L619" s="29" t="s">
        <v>1252</v>
      </c>
      <c r="M619" s="21" t="s">
        <v>1253</v>
      </c>
      <c r="N619" s="48">
        <v>45649</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0.1</v>
      </c>
      <c r="X619" s="2"/>
    </row>
    <row r="620" spans="2:24" ht="17.7" customHeight="1">
      <c r="B620" s="2" t="s">
        <v>26</v>
      </c>
      <c r="C620" s="2" t="s">
        <v>311</v>
      </c>
      <c r="D620" s="2" t="s">
        <v>327</v>
      </c>
      <c r="E620" s="2" t="s">
        <v>38</v>
      </c>
      <c r="F620" s="2" t="s">
        <v>326</v>
      </c>
      <c r="G620" s="2" t="s">
        <v>320</v>
      </c>
      <c r="H620" s="57" t="str">
        <f>Table1[[#This Row],[Tabela]]&amp;Table1[[#This Row],[Campo]]</f>
        <v>modesg_out_empr_info_nfinorigem_scp1_emss</v>
      </c>
      <c r="I620" s="2" t="s">
        <v>618</v>
      </c>
      <c r="J620" s="43">
        <f>VLOOKUP(Table1[[#This Row],[Status]],Auxiliar!$B$16:$C$24,2,0)</f>
        <v>7</v>
      </c>
      <c r="K620" s="2" t="s">
        <v>1246</v>
      </c>
      <c r="L620" s="29" t="s">
        <v>1252</v>
      </c>
      <c r="M620" s="21" t="s">
        <v>1253</v>
      </c>
      <c r="N620" s="48">
        <v>45667</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0.5</v>
      </c>
      <c r="X620" s="2"/>
    </row>
    <row r="621" spans="2:24" ht="17.7" customHeight="1">
      <c r="B621" s="2" t="s">
        <v>26</v>
      </c>
      <c r="C621" s="2" t="s">
        <v>311</v>
      </c>
      <c r="D621" s="2" t="s">
        <v>327</v>
      </c>
      <c r="E621" s="2" t="s">
        <v>38</v>
      </c>
      <c r="F621" s="2" t="s">
        <v>326</v>
      </c>
      <c r="G621" s="2" t="s">
        <v>320</v>
      </c>
      <c r="H621" s="57" t="str">
        <f>Table1[[#This Row],[Tabela]]&amp;Table1[[#This Row],[Campo]]</f>
        <v>modesg_out_empr_info_nfinorigem_scp1_emss</v>
      </c>
      <c r="I621" s="2" t="s">
        <v>618</v>
      </c>
      <c r="J621" s="43">
        <f>VLOOKUP(Table1[[#This Row],[Status]],Auxiliar!$B$16:$C$24,2,0)</f>
        <v>7</v>
      </c>
      <c r="K621" s="2" t="s">
        <v>1247</v>
      </c>
      <c r="L621" s="29" t="s">
        <v>1252</v>
      </c>
      <c r="M621" s="21" t="s">
        <v>1253</v>
      </c>
      <c r="N621" s="48">
        <v>45667</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0.5</v>
      </c>
      <c r="X621" s="2"/>
    </row>
    <row r="622" spans="2:24" ht="17.7" customHeight="1">
      <c r="B622" s="2" t="s">
        <v>26</v>
      </c>
      <c r="C622" s="2" t="s">
        <v>311</v>
      </c>
      <c r="D622" s="2" t="s">
        <v>327</v>
      </c>
      <c r="E622" s="2" t="s">
        <v>38</v>
      </c>
      <c r="F622" s="2" t="s">
        <v>326</v>
      </c>
      <c r="G622" s="2" t="s">
        <v>320</v>
      </c>
      <c r="H622" s="57" t="str">
        <f>Table1[[#This Row],[Tabela]]&amp;Table1[[#This Row],[Campo]]</f>
        <v>modesg_out_empr_info_nfinorigem_scp1_emss</v>
      </c>
      <c r="I622" s="2" t="s">
        <v>618</v>
      </c>
      <c r="J622" s="43">
        <f>VLOOKUP(Table1[[#This Row],[Status]],Auxiliar!$B$16:$C$24,2,0)</f>
        <v>7</v>
      </c>
      <c r="K622" s="2" t="s">
        <v>1249</v>
      </c>
      <c r="L622" s="29" t="s">
        <v>1252</v>
      </c>
      <c r="M622" s="21" t="s">
        <v>1253</v>
      </c>
      <c r="N622" s="48">
        <v>45667</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2.5000000000000001E-2</v>
      </c>
      <c r="X622" s="2"/>
    </row>
    <row r="623" spans="2:24" ht="17.7" customHeight="1">
      <c r="B623" s="2" t="s">
        <v>26</v>
      </c>
      <c r="C623" s="2" t="s">
        <v>311</v>
      </c>
      <c r="D623" s="2" t="s">
        <v>327</v>
      </c>
      <c r="E623" s="2" t="s">
        <v>38</v>
      </c>
      <c r="F623" s="2" t="s">
        <v>326</v>
      </c>
      <c r="G623" s="2" t="s">
        <v>321</v>
      </c>
      <c r="H623" s="57" t="str">
        <f>Table1[[#This Row],[Tabela]]&amp;Table1[[#This Row],[Campo]]</f>
        <v>modesg_out_empr_info_nfinorigem_scp2_emss</v>
      </c>
      <c r="I623" s="2" t="s">
        <v>618</v>
      </c>
      <c r="J623" s="43">
        <f>VLOOKUP(Table1[[#This Row],[Status]],Auxiliar!$B$16:$C$24,2,0)</f>
        <v>7</v>
      </c>
      <c r="K623" s="2" t="s">
        <v>1246</v>
      </c>
      <c r="L623" s="29" t="s">
        <v>1252</v>
      </c>
      <c r="M623" s="21" t="s">
        <v>1253</v>
      </c>
      <c r="N623" s="48">
        <v>45667</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0.5</v>
      </c>
      <c r="X623" s="2"/>
    </row>
    <row r="624" spans="2:24" ht="17.7" customHeight="1">
      <c r="B624" s="2" t="s">
        <v>26</v>
      </c>
      <c r="C624" s="2" t="s">
        <v>311</v>
      </c>
      <c r="D624" s="2" t="s">
        <v>327</v>
      </c>
      <c r="E624" s="2" t="s">
        <v>38</v>
      </c>
      <c r="F624" s="2" t="s">
        <v>326</v>
      </c>
      <c r="G624" s="2" t="s">
        <v>321</v>
      </c>
      <c r="H624" s="57" t="str">
        <f>Table1[[#This Row],[Tabela]]&amp;Table1[[#This Row],[Campo]]</f>
        <v>modesg_out_empr_info_nfinorigem_scp2_emss</v>
      </c>
      <c r="I624" s="2" t="s">
        <v>618</v>
      </c>
      <c r="J624" s="43">
        <f>VLOOKUP(Table1[[#This Row],[Status]],Auxiliar!$B$16:$C$24,2,0)</f>
        <v>7</v>
      </c>
      <c r="K624" s="2" t="s">
        <v>1247</v>
      </c>
      <c r="L624" s="29" t="s">
        <v>1252</v>
      </c>
      <c r="M624" s="21" t="s">
        <v>1253</v>
      </c>
      <c r="N624" s="48">
        <v>45667</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0.5</v>
      </c>
      <c r="X624" s="2"/>
    </row>
    <row r="625" spans="2:24" ht="17.7" customHeight="1">
      <c r="B625" s="2" t="s">
        <v>26</v>
      </c>
      <c r="C625" s="2" t="s">
        <v>311</v>
      </c>
      <c r="D625" s="2" t="s">
        <v>327</v>
      </c>
      <c r="E625" s="2" t="s">
        <v>38</v>
      </c>
      <c r="F625" s="2" t="s">
        <v>326</v>
      </c>
      <c r="G625" s="2" t="s">
        <v>321</v>
      </c>
      <c r="H625" s="57" t="str">
        <f>Table1[[#This Row],[Tabela]]&amp;Table1[[#This Row],[Campo]]</f>
        <v>modesg_out_empr_info_nfinorigem_scp2_emss</v>
      </c>
      <c r="I625" s="2" t="s">
        <v>618</v>
      </c>
      <c r="J625" s="43">
        <f>VLOOKUP(Table1[[#This Row],[Status]],Auxiliar!$B$16:$C$24,2,0)</f>
        <v>7</v>
      </c>
      <c r="K625" s="2" t="s">
        <v>1249</v>
      </c>
      <c r="L625" s="29" t="s">
        <v>1252</v>
      </c>
      <c r="M625" s="21" t="s">
        <v>1253</v>
      </c>
      <c r="N625" s="48">
        <v>45667</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2.5000000000000001E-2</v>
      </c>
      <c r="X625" s="2"/>
    </row>
    <row r="626" spans="2:24" ht="17.7" customHeight="1">
      <c r="B626" s="2" t="s">
        <v>26</v>
      </c>
      <c r="C626" s="2" t="s">
        <v>311</v>
      </c>
      <c r="D626" s="2" t="s">
        <v>327</v>
      </c>
      <c r="E626" s="2" t="s">
        <v>38</v>
      </c>
      <c r="F626" s="2" t="s">
        <v>326</v>
      </c>
      <c r="G626" s="2" t="s">
        <v>322</v>
      </c>
      <c r="H626" s="57" t="str">
        <f>Table1[[#This Row],[Tabela]]&amp;Table1[[#This Row],[Campo]]</f>
        <v>modesg_out_empr_info_nfinorigem_scp3_emss</v>
      </c>
      <c r="I626" s="2" t="s">
        <v>618</v>
      </c>
      <c r="J626" s="43">
        <f>VLOOKUP(Table1[[#This Row],[Status]],Auxiliar!$B$16:$C$24,2,0)</f>
        <v>7</v>
      </c>
      <c r="K626" s="2" t="s">
        <v>1246</v>
      </c>
      <c r="L626" s="29" t="s">
        <v>1252</v>
      </c>
      <c r="M626" s="21" t="s">
        <v>1253</v>
      </c>
      <c r="N626" s="48">
        <v>45667</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0.5</v>
      </c>
      <c r="X626" s="2"/>
    </row>
    <row r="627" spans="2:24" ht="17.7" customHeight="1">
      <c r="B627" s="2" t="s">
        <v>26</v>
      </c>
      <c r="C627" s="2" t="s">
        <v>311</v>
      </c>
      <c r="D627" s="2" t="s">
        <v>327</v>
      </c>
      <c r="E627" s="2" t="s">
        <v>38</v>
      </c>
      <c r="F627" s="2" t="s">
        <v>326</v>
      </c>
      <c r="G627" s="2" t="s">
        <v>322</v>
      </c>
      <c r="H627" s="57" t="str">
        <f>Table1[[#This Row],[Tabela]]&amp;Table1[[#This Row],[Campo]]</f>
        <v>modesg_out_empr_info_nfinorigem_scp3_emss</v>
      </c>
      <c r="I627" s="2" t="s">
        <v>618</v>
      </c>
      <c r="J627" s="43">
        <f>VLOOKUP(Table1[[#This Row],[Status]],Auxiliar!$B$16:$C$24,2,0)</f>
        <v>7</v>
      </c>
      <c r="K627" s="2" t="s">
        <v>1247</v>
      </c>
      <c r="L627" s="29" t="s">
        <v>1252</v>
      </c>
      <c r="M627" s="21" t="s">
        <v>1253</v>
      </c>
      <c r="N627" s="48">
        <v>45667</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0.5</v>
      </c>
      <c r="X627" s="2"/>
    </row>
    <row r="628" spans="2:24" ht="17.7" customHeight="1">
      <c r="B628" s="2" t="s">
        <v>26</v>
      </c>
      <c r="C628" s="2" t="s">
        <v>311</v>
      </c>
      <c r="D628" s="2" t="s">
        <v>327</v>
      </c>
      <c r="E628" s="2" t="s">
        <v>38</v>
      </c>
      <c r="F628" s="2" t="s">
        <v>326</v>
      </c>
      <c r="G628" s="2" t="s">
        <v>322</v>
      </c>
      <c r="H628" s="57" t="str">
        <f>Table1[[#This Row],[Tabela]]&amp;Table1[[#This Row],[Campo]]</f>
        <v>modesg_out_empr_info_nfinorigem_scp3_emss</v>
      </c>
      <c r="I628" s="2" t="s">
        <v>618</v>
      </c>
      <c r="J628" s="43">
        <f>VLOOKUP(Table1[[#This Row],[Status]],Auxiliar!$B$16:$C$24,2,0)</f>
        <v>7</v>
      </c>
      <c r="K628" s="2" t="s">
        <v>1249</v>
      </c>
      <c r="L628" s="29" t="s">
        <v>1252</v>
      </c>
      <c r="M628" s="21" t="s">
        <v>1253</v>
      </c>
      <c r="N628" s="48">
        <v>45667</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1246</v>
      </c>
      <c r="L629" s="29" t="s">
        <v>1252</v>
      </c>
      <c r="M629" s="21" t="s">
        <v>1253</v>
      </c>
      <c r="N629" s="48">
        <v>45485</v>
      </c>
      <c r="O629" s="21">
        <f>INDEX(Auxiliar!$D$5:$F$13,MATCH(Table1[[#This Row],[Tipologia_Testes]],Auxiliar!$B$5:$B$13,0),MATCH(Table1[[#This Row],[Complexidade]],Auxiliar!$D$4:$F$4,0))</f>
        <v>2</v>
      </c>
      <c r="P629" s="2"/>
      <c r="Q629" s="2" t="s">
        <v>1263</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1247</v>
      </c>
      <c r="L630" s="29" t="s">
        <v>1252</v>
      </c>
      <c r="M630" s="21" t="s">
        <v>1253</v>
      </c>
      <c r="N630" s="48">
        <v>45485</v>
      </c>
      <c r="O630" s="21">
        <f>INDEX(Auxiliar!$D$5:$F$13,MATCH(Table1[[#This Row],[Tipologia_Testes]],Auxiliar!$B$5:$B$13,0),MATCH(Table1[[#This Row],[Complexidade]],Auxiliar!$D$4:$F$4,0))</f>
        <v>2</v>
      </c>
      <c r="P630" s="2"/>
      <c r="Q630" s="2" t="s">
        <v>1263</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1249</v>
      </c>
      <c r="L631" s="29" t="s">
        <v>1252</v>
      </c>
      <c r="M631" s="21" t="s">
        <v>1253</v>
      </c>
      <c r="N631" s="48">
        <v>45485</v>
      </c>
      <c r="O631" s="21">
        <f>INDEX(Auxiliar!$D$5:$F$13,MATCH(Table1[[#This Row],[Tipologia_Testes]],Auxiliar!$B$5:$B$13,0),MATCH(Table1[[#This Row],[Complexidade]],Auxiliar!$D$4:$F$4,0))</f>
        <v>0.1</v>
      </c>
      <c r="P631" s="2"/>
      <c r="Q631" s="2" t="s">
        <v>1263</v>
      </c>
      <c r="R631" s="152">
        <v>45261</v>
      </c>
      <c r="S631" s="152"/>
      <c r="T631" s="152"/>
      <c r="U631" s="152"/>
      <c r="V631" s="152"/>
      <c r="W631" s="2">
        <f>VLOOKUP(Table1[[#This Row],[Status]],Auxiliar!$B$16:$D$24,3,0)*Table1[[#This Row],[Estimação (horas)]]</f>
        <v>0.1</v>
      </c>
      <c r="X631" s="2"/>
    </row>
    <row r="632" spans="2:24" ht="17.7" customHeight="1">
      <c r="B632" s="2" t="s">
        <v>26</v>
      </c>
      <c r="C632" s="2" t="s">
        <v>311</v>
      </c>
      <c r="D632" s="2" t="s">
        <v>327</v>
      </c>
      <c r="E632" s="2" t="s">
        <v>38</v>
      </c>
      <c r="F632" s="2" t="s">
        <v>326</v>
      </c>
      <c r="G632" s="2" t="s">
        <v>286</v>
      </c>
      <c r="H632" s="57" t="str">
        <f>Table1[[#This Row],[Tabela]]&amp;Table1[[#This Row],[Campo]]</f>
        <v>modesg_out_empr_info_nfinscp1_emss</v>
      </c>
      <c r="I632" s="2" t="s">
        <v>618</v>
      </c>
      <c r="J632" s="43">
        <f>VLOOKUP(Table1[[#This Row],[Status]],Auxiliar!$B$16:$C$24,2,0)</f>
        <v>7</v>
      </c>
      <c r="K632" s="2" t="s">
        <v>1246</v>
      </c>
      <c r="L632" s="29" t="s">
        <v>1252</v>
      </c>
      <c r="M632" s="21" t="s">
        <v>1254</v>
      </c>
      <c r="N632" s="48">
        <v>45667</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1</v>
      </c>
      <c r="X632" s="2"/>
    </row>
    <row r="633" spans="2:24" ht="17.7" customHeight="1">
      <c r="B633" s="2" t="s">
        <v>26</v>
      </c>
      <c r="C633" s="2" t="s">
        <v>311</v>
      </c>
      <c r="D633" s="2" t="s">
        <v>327</v>
      </c>
      <c r="E633" s="2" t="s">
        <v>38</v>
      </c>
      <c r="F633" s="2" t="s">
        <v>326</v>
      </c>
      <c r="G633" s="2" t="s">
        <v>286</v>
      </c>
      <c r="H633" s="57" t="str">
        <f>Table1[[#This Row],[Tabela]]&amp;Table1[[#This Row],[Campo]]</f>
        <v>modesg_out_empr_info_nfinscp1_emss</v>
      </c>
      <c r="I633" s="2" t="s">
        <v>618</v>
      </c>
      <c r="J633" s="43">
        <f>VLOOKUP(Table1[[#This Row],[Status]],Auxiliar!$B$16:$C$24,2,0)</f>
        <v>7</v>
      </c>
      <c r="K633" s="2" t="s">
        <v>1247</v>
      </c>
      <c r="L633" s="29" t="s">
        <v>1252</v>
      </c>
      <c r="M633" s="21" t="s">
        <v>1254</v>
      </c>
      <c r="N633" s="48">
        <v>45667</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1</v>
      </c>
      <c r="X633" s="2"/>
    </row>
    <row r="634" spans="2:24" ht="17.7" customHeight="1">
      <c r="B634" s="2" t="s">
        <v>26</v>
      </c>
      <c r="C634" s="2" t="s">
        <v>311</v>
      </c>
      <c r="D634" s="2" t="s">
        <v>327</v>
      </c>
      <c r="E634" s="2" t="s">
        <v>38</v>
      </c>
      <c r="F634" s="2" t="s">
        <v>326</v>
      </c>
      <c r="G634" s="2" t="s">
        <v>286</v>
      </c>
      <c r="H634" s="57" t="str">
        <f>Table1[[#This Row],[Tabela]]&amp;Table1[[#This Row],[Campo]]</f>
        <v>modesg_out_empr_info_nfinscp1_emss</v>
      </c>
      <c r="I634" s="2" t="s">
        <v>618</v>
      </c>
      <c r="J634" s="43">
        <f>VLOOKUP(Table1[[#This Row],[Status]],Auxiliar!$B$16:$C$24,2,0)</f>
        <v>7</v>
      </c>
      <c r="K634" s="2" t="s">
        <v>1249</v>
      </c>
      <c r="L634" s="29" t="s">
        <v>1252</v>
      </c>
      <c r="M634" s="21" t="s">
        <v>1254</v>
      </c>
      <c r="N634" s="48">
        <v>45667</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2.5000000000000001E-2</v>
      </c>
      <c r="X634" s="2"/>
    </row>
    <row r="635" spans="2:24" ht="17.7" customHeight="1">
      <c r="B635" s="2" t="s">
        <v>26</v>
      </c>
      <c r="C635" s="2" t="s">
        <v>311</v>
      </c>
      <c r="D635" s="2" t="s">
        <v>327</v>
      </c>
      <c r="E635" s="2" t="s">
        <v>38</v>
      </c>
      <c r="F635" s="2" t="s">
        <v>326</v>
      </c>
      <c r="G635" s="2" t="s">
        <v>287</v>
      </c>
      <c r="H635" s="57" t="str">
        <f>Table1[[#This Row],[Tabela]]&amp;Table1[[#This Row],[Campo]]</f>
        <v>modesg_out_empr_info_nfinscp2_emss</v>
      </c>
      <c r="I635" s="2" t="s">
        <v>618</v>
      </c>
      <c r="J635" s="43">
        <f>VLOOKUP(Table1[[#This Row],[Status]],Auxiliar!$B$16:$C$24,2,0)</f>
        <v>7</v>
      </c>
      <c r="K635" s="2" t="s">
        <v>1246</v>
      </c>
      <c r="L635" s="29" t="s">
        <v>1252</v>
      </c>
      <c r="M635" s="21" t="s">
        <v>1254</v>
      </c>
      <c r="N635" s="48">
        <v>45667</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1</v>
      </c>
      <c r="X635" s="2"/>
    </row>
    <row r="636" spans="2:24" ht="17.7" customHeight="1">
      <c r="B636" s="2" t="s">
        <v>26</v>
      </c>
      <c r="C636" s="2" t="s">
        <v>311</v>
      </c>
      <c r="D636" s="2" t="s">
        <v>327</v>
      </c>
      <c r="E636" s="2" t="s">
        <v>38</v>
      </c>
      <c r="F636" s="2" t="s">
        <v>326</v>
      </c>
      <c r="G636" s="2" t="s">
        <v>287</v>
      </c>
      <c r="H636" s="57" t="str">
        <f>Table1[[#This Row],[Tabela]]&amp;Table1[[#This Row],[Campo]]</f>
        <v>modesg_out_empr_info_nfinscp2_emss</v>
      </c>
      <c r="I636" s="2" t="s">
        <v>618</v>
      </c>
      <c r="J636" s="43">
        <f>VLOOKUP(Table1[[#This Row],[Status]],Auxiliar!$B$16:$C$24,2,0)</f>
        <v>7</v>
      </c>
      <c r="K636" s="2" t="s">
        <v>1247</v>
      </c>
      <c r="L636" s="29" t="s">
        <v>1252</v>
      </c>
      <c r="M636" s="21" t="s">
        <v>1254</v>
      </c>
      <c r="N636" s="48">
        <v>45667</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1</v>
      </c>
      <c r="X636" s="2"/>
    </row>
    <row r="637" spans="2:24" ht="17.7" customHeight="1">
      <c r="B637" s="2" t="s">
        <v>26</v>
      </c>
      <c r="C637" s="2" t="s">
        <v>311</v>
      </c>
      <c r="D637" s="2" t="s">
        <v>327</v>
      </c>
      <c r="E637" s="2" t="s">
        <v>38</v>
      </c>
      <c r="F637" s="2" t="s">
        <v>326</v>
      </c>
      <c r="G637" s="2" t="s">
        <v>287</v>
      </c>
      <c r="H637" s="57" t="str">
        <f>Table1[[#This Row],[Tabela]]&amp;Table1[[#This Row],[Campo]]</f>
        <v>modesg_out_empr_info_nfinscp2_emss</v>
      </c>
      <c r="I637" s="2" t="s">
        <v>618</v>
      </c>
      <c r="J637" s="43">
        <f>VLOOKUP(Table1[[#This Row],[Status]],Auxiliar!$B$16:$C$24,2,0)</f>
        <v>7</v>
      </c>
      <c r="K637" s="2" t="s">
        <v>1249</v>
      </c>
      <c r="L637" s="29" t="s">
        <v>1252</v>
      </c>
      <c r="M637" s="21" t="s">
        <v>1254</v>
      </c>
      <c r="N637" s="48">
        <v>45667</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2.5000000000000001E-2</v>
      </c>
      <c r="X637" s="2"/>
    </row>
    <row r="638" spans="2:24" ht="17.7" customHeight="1">
      <c r="B638" s="2" t="s">
        <v>26</v>
      </c>
      <c r="C638" s="2" t="s">
        <v>311</v>
      </c>
      <c r="D638" s="2" t="s">
        <v>327</v>
      </c>
      <c r="E638" s="2" t="s">
        <v>38</v>
      </c>
      <c r="F638" s="2" t="s">
        <v>326</v>
      </c>
      <c r="G638" s="2" t="s">
        <v>288</v>
      </c>
      <c r="H638" s="57" t="str">
        <f>Table1[[#This Row],[Tabela]]&amp;Table1[[#This Row],[Campo]]</f>
        <v>modesg_out_empr_info_nfinscp3_emss</v>
      </c>
      <c r="I638" s="2" t="s">
        <v>618</v>
      </c>
      <c r="J638" s="43">
        <f>VLOOKUP(Table1[[#This Row],[Status]],Auxiliar!$B$16:$C$24,2,0)</f>
        <v>7</v>
      </c>
      <c r="K638" s="2" t="s">
        <v>1246</v>
      </c>
      <c r="L638" s="29" t="s">
        <v>1252</v>
      </c>
      <c r="M638" s="21" t="s">
        <v>1254</v>
      </c>
      <c r="N638" s="48">
        <v>45667</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1</v>
      </c>
      <c r="X638" s="2"/>
    </row>
    <row r="639" spans="2:24" ht="17.7" customHeight="1">
      <c r="B639" s="2" t="s">
        <v>26</v>
      </c>
      <c r="C639" s="2" t="s">
        <v>311</v>
      </c>
      <c r="D639" s="2" t="s">
        <v>327</v>
      </c>
      <c r="E639" s="2" t="s">
        <v>38</v>
      </c>
      <c r="F639" s="2" t="s">
        <v>326</v>
      </c>
      <c r="G639" s="2" t="s">
        <v>288</v>
      </c>
      <c r="H639" s="57" t="str">
        <f>Table1[[#This Row],[Tabela]]&amp;Table1[[#This Row],[Campo]]</f>
        <v>modesg_out_empr_info_nfinscp3_emss</v>
      </c>
      <c r="I639" s="2" t="s">
        <v>618</v>
      </c>
      <c r="J639" s="43">
        <f>VLOOKUP(Table1[[#This Row],[Status]],Auxiliar!$B$16:$C$24,2,0)</f>
        <v>7</v>
      </c>
      <c r="K639" s="2" t="s">
        <v>1247</v>
      </c>
      <c r="L639" s="29" t="s">
        <v>1252</v>
      </c>
      <c r="M639" s="21" t="s">
        <v>1254</v>
      </c>
      <c r="N639" s="48">
        <v>45667</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1</v>
      </c>
      <c r="X639" s="2"/>
    </row>
    <row r="640" spans="2:24" ht="17.7" customHeight="1">
      <c r="B640" s="2" t="s">
        <v>26</v>
      </c>
      <c r="C640" s="2" t="s">
        <v>311</v>
      </c>
      <c r="D640" s="2" t="s">
        <v>327</v>
      </c>
      <c r="E640" s="2" t="s">
        <v>38</v>
      </c>
      <c r="F640" s="2" t="s">
        <v>326</v>
      </c>
      <c r="G640" s="2" t="s">
        <v>288</v>
      </c>
      <c r="H640" s="57" t="str">
        <f>Table1[[#This Row],[Tabela]]&amp;Table1[[#This Row],[Campo]]</f>
        <v>modesg_out_empr_info_nfinscp3_emss</v>
      </c>
      <c r="I640" s="2" t="s">
        <v>618</v>
      </c>
      <c r="J640" s="43">
        <f>VLOOKUP(Table1[[#This Row],[Status]],Auxiliar!$B$16:$C$24,2,0)</f>
        <v>7</v>
      </c>
      <c r="K640" s="2" t="s">
        <v>1249</v>
      </c>
      <c r="L640" s="29" t="s">
        <v>1252</v>
      </c>
      <c r="M640" s="21" t="s">
        <v>1254</v>
      </c>
      <c r="N640" s="48">
        <v>45667</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1246</v>
      </c>
      <c r="L641" s="29" t="s">
        <v>1252</v>
      </c>
      <c r="M641" s="21" t="s">
        <v>1253</v>
      </c>
      <c r="N641" s="48">
        <v>45561</v>
      </c>
      <c r="O641" s="21">
        <f>INDEX(Auxiliar!$D$5:$F$13,MATCH(Table1[[#This Row],[Tipologia_Testes]],Auxiliar!$B$5:$B$13,0),MATCH(Table1[[#This Row],[Complexidade]],Auxiliar!$D$4:$F$4,0))</f>
        <v>2</v>
      </c>
      <c r="P641" s="2" t="s">
        <v>1279</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1247</v>
      </c>
      <c r="L642" s="29" t="s">
        <v>1252</v>
      </c>
      <c r="M642" s="21" t="s">
        <v>1253</v>
      </c>
      <c r="N642" s="48">
        <v>45561</v>
      </c>
      <c r="O642" s="21">
        <f>INDEX(Auxiliar!$D$5:$F$13,MATCH(Table1[[#This Row],[Tipologia_Testes]],Auxiliar!$B$5:$B$13,0),MATCH(Table1[[#This Row],[Complexidade]],Auxiliar!$D$4:$F$4,0))</f>
        <v>2</v>
      </c>
      <c r="P642" s="2" t="s">
        <v>1279</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1249</v>
      </c>
      <c r="L643" s="29" t="s">
        <v>1252</v>
      </c>
      <c r="M643" s="21" t="s">
        <v>1253</v>
      </c>
      <c r="N643" s="48">
        <v>45561</v>
      </c>
      <c r="O643" s="21">
        <f>INDEX(Auxiliar!$D$5:$F$13,MATCH(Table1[[#This Row],[Tipologia_Testes]],Auxiliar!$B$5:$B$13,0),MATCH(Table1[[#This Row],[Complexidade]],Auxiliar!$D$4:$F$4,0))</f>
        <v>0.1</v>
      </c>
      <c r="P643" s="2" t="s">
        <v>1279</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3" t="s">
        <v>613</v>
      </c>
      <c r="J644" s="43">
        <f>VLOOKUP(Table1[[#This Row],[Status]],Auxiliar!$B$16:$C$24,2,0)</f>
        <v>1</v>
      </c>
      <c r="K644" s="2" t="s">
        <v>1243</v>
      </c>
      <c r="L644" s="29" t="s">
        <v>1252</v>
      </c>
      <c r="M644" s="21" t="s">
        <v>1253</v>
      </c>
      <c r="N644" s="48">
        <v>45632</v>
      </c>
      <c r="O644" s="21">
        <f>INDEX(Auxiliar!$D$5:$F$13,MATCH(Table1[[#This Row],[Tipologia_Testes]],Auxiliar!$B$5:$B$13,0),MATCH(Table1[[#This Row],[Complexidade]],Auxiliar!$D$4:$F$4,0))</f>
        <v>8</v>
      </c>
      <c r="P644" s="23" t="s">
        <v>1280</v>
      </c>
      <c r="Q644" s="2"/>
      <c r="R644" s="152">
        <v>45560</v>
      </c>
      <c r="S644" s="152"/>
      <c r="T644" s="152">
        <v>45560</v>
      </c>
      <c r="U644" s="152">
        <v>45607</v>
      </c>
      <c r="V644" s="152">
        <v>45608</v>
      </c>
      <c r="W644" s="2">
        <f>VLOOKUP(Table1[[#This Row],[Status]],Auxiliar!$B$16:$D$24,3,0)*Table1[[#This Row],[Estimação (horas)]]</f>
        <v>8</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1246</v>
      </c>
      <c r="L645" s="29" t="s">
        <v>1252</v>
      </c>
      <c r="M645" s="21" t="s">
        <v>1253</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1247</v>
      </c>
      <c r="L646" s="29" t="s">
        <v>1252</v>
      </c>
      <c r="M646" s="21" t="s">
        <v>1253</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1249</v>
      </c>
      <c r="L647" s="29" t="s">
        <v>1252</v>
      </c>
      <c r="M647" s="21" t="s">
        <v>1253</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1246</v>
      </c>
      <c r="L648" s="29" t="s">
        <v>1252</v>
      </c>
      <c r="M648" s="21" t="s">
        <v>1253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1247</v>
      </c>
      <c r="L649" s="29" t="s">
        <v>1252</v>
      </c>
      <c r="M649" s="21" t="s">
        <v>1253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1249</v>
      </c>
      <c r="L650" s="29" t="s">
        <v>1252</v>
      </c>
      <c r="M650" s="21" t="s">
        <v>1253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1246</v>
      </c>
      <c r="L651" s="29" t="s">
        <v>1252</v>
      </c>
      <c r="M651" s="21" t="s">
        <v>1253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1247</v>
      </c>
      <c r="L652" s="29" t="s">
        <v>1252</v>
      </c>
      <c r="M652" s="21" t="s">
        <v>1253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1249</v>
      </c>
      <c r="L653" s="29" t="s">
        <v>1252</v>
      </c>
      <c r="M653" s="21" t="s">
        <v>1253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1246</v>
      </c>
      <c r="L654" s="29" t="s">
        <v>1252</v>
      </c>
      <c r="M654" s="21" t="s">
        <v>1253</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1247</v>
      </c>
      <c r="L655" s="29" t="s">
        <v>1252</v>
      </c>
      <c r="M655" s="21" t="s">
        <v>1253</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1249</v>
      </c>
      <c r="L656" s="29" t="s">
        <v>1252</v>
      </c>
      <c r="M656" s="21" t="s">
        <v>1253</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1246</v>
      </c>
      <c r="L657" s="29" t="s">
        <v>1244</v>
      </c>
      <c r="M657" s="21" t="s">
        <v>1254</v>
      </c>
      <c r="N657" s="48">
        <v>45618</v>
      </c>
      <c r="O657" s="21">
        <f>INDEX(Auxiliar!$D$5:$F$13,MATCH(Table1[[#This Row],[Tipologia_Testes]],Auxiliar!$B$5:$B$13,0),MATCH(Table1[[#This Row],[Complexidade]],Auxiliar!$D$4:$F$4,0))</f>
        <v>4</v>
      </c>
      <c r="P657" s="2" t="s">
        <v>1281</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1247</v>
      </c>
      <c r="L658" s="29" t="s">
        <v>1244</v>
      </c>
      <c r="M658" s="21" t="s">
        <v>1254</v>
      </c>
      <c r="N658" s="48">
        <v>45618</v>
      </c>
      <c r="O658" s="21">
        <f>INDEX(Auxiliar!$D$5:$F$13,MATCH(Table1[[#This Row],[Tipologia_Testes]],Auxiliar!$B$5:$B$13,0),MATCH(Table1[[#This Row],[Complexidade]],Auxiliar!$D$4:$F$4,0))</f>
        <v>4</v>
      </c>
      <c r="P658" s="2" t="s">
        <v>1281</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1249</v>
      </c>
      <c r="L659" s="29" t="s">
        <v>1244</v>
      </c>
      <c r="M659" s="21" t="s">
        <v>1254</v>
      </c>
      <c r="N659" s="48">
        <v>45618</v>
      </c>
      <c r="O659" s="21">
        <f>INDEX(Auxiliar!$D$5:$F$13,MATCH(Table1[[#This Row],[Tipologia_Testes]],Auxiliar!$B$5:$B$13,0),MATCH(Table1[[#This Row],[Complexidade]],Auxiliar!$D$4:$F$4,0))</f>
        <v>0.1</v>
      </c>
      <c r="P659" s="2" t="s">
        <v>1281</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613</v>
      </c>
      <c r="J660" s="43">
        <f>VLOOKUP(Table1[[#This Row],[Status]],Auxiliar!$B$16:$C$24,2,0)</f>
        <v>1</v>
      </c>
      <c r="K660" s="2" t="s">
        <v>1246</v>
      </c>
      <c r="L660" s="29" t="s">
        <v>1244</v>
      </c>
      <c r="M660" s="21" t="s">
        <v>1254</v>
      </c>
      <c r="N660" s="48">
        <v>45632</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613</v>
      </c>
      <c r="J661" s="43">
        <f>VLOOKUP(Table1[[#This Row],[Status]],Auxiliar!$B$16:$C$24,2,0)</f>
        <v>1</v>
      </c>
      <c r="K661" s="2" t="s">
        <v>1247</v>
      </c>
      <c r="L661" s="29" t="s">
        <v>1244</v>
      </c>
      <c r="M661" s="21" t="s">
        <v>1254</v>
      </c>
      <c r="N661" s="48">
        <v>45632</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613</v>
      </c>
      <c r="J662" s="43">
        <f>VLOOKUP(Table1[[#This Row],[Status]],Auxiliar!$B$16:$C$24,2,0)</f>
        <v>1</v>
      </c>
      <c r="K662" s="2" t="s">
        <v>1249</v>
      </c>
      <c r="L662" s="29" t="s">
        <v>1244</v>
      </c>
      <c r="M662" s="21" t="s">
        <v>1254</v>
      </c>
      <c r="N662" s="48">
        <v>45632</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613</v>
      </c>
      <c r="J663" s="43">
        <f>VLOOKUP(Table1[[#This Row],[Status]],Auxiliar!$B$16:$C$24,2,0)</f>
        <v>1</v>
      </c>
      <c r="K663" s="2" t="s">
        <v>1246</v>
      </c>
      <c r="L663" s="29" t="s">
        <v>1244</v>
      </c>
      <c r="M663" s="21" t="s">
        <v>1254</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613</v>
      </c>
      <c r="J664" s="43">
        <f>VLOOKUP(Table1[[#This Row],[Status]],Auxiliar!$B$16:$C$24,2,0)</f>
        <v>1</v>
      </c>
      <c r="K664" s="2" t="s">
        <v>1247</v>
      </c>
      <c r="L664" s="29" t="s">
        <v>1244</v>
      </c>
      <c r="M664" s="21" t="s">
        <v>1254</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613</v>
      </c>
      <c r="J665" s="43">
        <f>VLOOKUP(Table1[[#This Row],[Status]],Auxiliar!$B$16:$C$24,2,0)</f>
        <v>1</v>
      </c>
      <c r="K665" s="2" t="s">
        <v>1249</v>
      </c>
      <c r="L665" s="29" t="s">
        <v>1244</v>
      </c>
      <c r="M665" s="21" t="s">
        <v>1254</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1246</v>
      </c>
      <c r="L666" s="29" t="s">
        <v>1244</v>
      </c>
      <c r="M666" s="21" t="s">
        <v>1254</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1247</v>
      </c>
      <c r="L667" s="29" t="s">
        <v>1244</v>
      </c>
      <c r="M667" s="21" t="s">
        <v>1254</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1249</v>
      </c>
      <c r="L668" s="29" t="s">
        <v>1244</v>
      </c>
      <c r="M668" s="21" t="s">
        <v>1254</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1246</v>
      </c>
      <c r="L669" s="29" t="s">
        <v>1252</v>
      </c>
      <c r="M669" s="21" t="s">
        <v>1253</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1247</v>
      </c>
      <c r="L670" s="29" t="s">
        <v>1252</v>
      </c>
      <c r="M670" s="21" t="s">
        <v>1253</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1249</v>
      </c>
      <c r="L671" s="29" t="s">
        <v>1252</v>
      </c>
      <c r="M671" s="21" t="s">
        <v>1253</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3" t="s">
        <v>613</v>
      </c>
      <c r="J672" s="43">
        <f>VLOOKUP(Table1[[#This Row],[Status]],Auxiliar!$B$16:$C$24,2,0)</f>
        <v>1</v>
      </c>
      <c r="K672" s="2" t="s">
        <v>1246</v>
      </c>
      <c r="L672" s="29" t="s">
        <v>1244</v>
      </c>
      <c r="M672" s="21" t="s">
        <v>1245</v>
      </c>
      <c r="N672" s="48">
        <v>45632</v>
      </c>
      <c r="O672" s="21">
        <f>INDEX(Auxiliar!$D$5:$F$13,MATCH(Table1[[#This Row],[Tipologia_Testes]],Auxiliar!$B$5:$B$13,0),MATCH(Table1[[#This Row],[Complexidade]],Auxiliar!$D$4:$F$4,0))</f>
        <v>8</v>
      </c>
      <c r="P672" s="23" t="s">
        <v>1282</v>
      </c>
      <c r="Q672" s="2"/>
      <c r="R672" s="152">
        <v>45566</v>
      </c>
      <c r="S672" s="152"/>
      <c r="T672" s="152">
        <v>45621</v>
      </c>
      <c r="U672" s="152">
        <v>45607</v>
      </c>
      <c r="V672" s="152">
        <v>45608</v>
      </c>
      <c r="W672" s="2">
        <f>VLOOKUP(Table1[[#This Row],[Status]],Auxiliar!$B$16:$D$24,3,0)*Table1[[#This Row],[Estimação (horas)]]</f>
        <v>8</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3" t="s">
        <v>613</v>
      </c>
      <c r="J673" s="43">
        <f>VLOOKUP(Table1[[#This Row],[Status]],Auxiliar!$B$16:$C$24,2,0)</f>
        <v>1</v>
      </c>
      <c r="K673" s="2" t="s">
        <v>1247</v>
      </c>
      <c r="L673" s="29" t="s">
        <v>1244</v>
      </c>
      <c r="M673" s="21" t="s">
        <v>1245</v>
      </c>
      <c r="N673" s="48">
        <v>45632</v>
      </c>
      <c r="O673" s="21">
        <f>INDEX(Auxiliar!$D$5:$F$13,MATCH(Table1[[#This Row],[Tipologia_Testes]],Auxiliar!$B$5:$B$13,0),MATCH(Table1[[#This Row],[Complexidade]],Auxiliar!$D$4:$F$4,0))</f>
        <v>8</v>
      </c>
      <c r="P673" s="23" t="s">
        <v>1282</v>
      </c>
      <c r="Q673" s="2"/>
      <c r="R673" s="152">
        <v>45566</v>
      </c>
      <c r="S673" s="152"/>
      <c r="T673" s="152">
        <v>45621</v>
      </c>
      <c r="U673" s="152">
        <v>45607</v>
      </c>
      <c r="V673" s="152">
        <v>45608</v>
      </c>
      <c r="W673" s="2">
        <f>VLOOKUP(Table1[[#This Row],[Status]],Auxiliar!$B$16:$D$24,3,0)*Table1[[#This Row],[Estimação (horas)]]</f>
        <v>8</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3" t="s">
        <v>613</v>
      </c>
      <c r="J674" s="43">
        <f>VLOOKUP(Table1[[#This Row],[Status]],Auxiliar!$B$16:$C$24,2,0)</f>
        <v>1</v>
      </c>
      <c r="K674" s="2" t="s">
        <v>1249</v>
      </c>
      <c r="L674" s="29" t="s">
        <v>1244</v>
      </c>
      <c r="M674" s="21" t="s">
        <v>1245</v>
      </c>
      <c r="N674" s="48">
        <v>45632</v>
      </c>
      <c r="O674" s="21">
        <f>INDEX(Auxiliar!$D$5:$F$13,MATCH(Table1[[#This Row],[Tipologia_Testes]],Auxiliar!$B$5:$B$13,0),MATCH(Table1[[#This Row],[Complexidade]],Auxiliar!$D$4:$F$4,0))</f>
        <v>0.1</v>
      </c>
      <c r="P674" s="23" t="s">
        <v>1282</v>
      </c>
      <c r="Q674" s="2"/>
      <c r="R674" s="152">
        <v>45566</v>
      </c>
      <c r="S674" s="152"/>
      <c r="T674" s="152">
        <v>45621</v>
      </c>
      <c r="U674" s="152">
        <v>45607</v>
      </c>
      <c r="V674" s="152">
        <v>45608</v>
      </c>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3" t="s">
        <v>613</v>
      </c>
      <c r="J675" s="43">
        <f>VLOOKUP(Table1[[#This Row],[Status]],Auxiliar!$B$16:$C$24,2,0)</f>
        <v>1</v>
      </c>
      <c r="K675" s="2" t="s">
        <v>1246</v>
      </c>
      <c r="L675" s="29" t="s">
        <v>1244</v>
      </c>
      <c r="M675" s="21" t="s">
        <v>1245</v>
      </c>
      <c r="N675" s="48">
        <v>45632</v>
      </c>
      <c r="O675" s="21">
        <f>INDEX(Auxiliar!$D$5:$F$13,MATCH(Table1[[#This Row],[Tipologia_Testes]],Auxiliar!$B$5:$B$13,0),MATCH(Table1[[#This Row],[Complexidade]],Auxiliar!$D$4:$F$4,0))</f>
        <v>8</v>
      </c>
      <c r="P675" s="23" t="s">
        <v>1282</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3" t="s">
        <v>613</v>
      </c>
      <c r="J676" s="43">
        <f>VLOOKUP(Table1[[#This Row],[Status]],Auxiliar!$B$16:$C$24,2,0)</f>
        <v>1</v>
      </c>
      <c r="K676" s="2" t="s">
        <v>1247</v>
      </c>
      <c r="L676" s="29" t="s">
        <v>1244</v>
      </c>
      <c r="M676" s="21" t="s">
        <v>1245</v>
      </c>
      <c r="N676" s="48">
        <v>45632</v>
      </c>
      <c r="O676" s="21">
        <f>INDEX(Auxiliar!$D$5:$F$13,MATCH(Table1[[#This Row],[Tipologia_Testes]],Auxiliar!$B$5:$B$13,0),MATCH(Table1[[#This Row],[Complexidade]],Auxiliar!$D$4:$F$4,0))</f>
        <v>8</v>
      </c>
      <c r="P676" s="23" t="s">
        <v>1282</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3" t="s">
        <v>613</v>
      </c>
      <c r="J677" s="43">
        <f>VLOOKUP(Table1[[#This Row],[Status]],Auxiliar!$B$16:$C$24,2,0)</f>
        <v>1</v>
      </c>
      <c r="K677" s="2" t="s">
        <v>1249</v>
      </c>
      <c r="L677" s="29" t="s">
        <v>1244</v>
      </c>
      <c r="M677" s="21" t="s">
        <v>1245</v>
      </c>
      <c r="N677" s="48">
        <v>45632</v>
      </c>
      <c r="O677" s="21">
        <f>INDEX(Auxiliar!$D$5:$F$13,MATCH(Table1[[#This Row],[Tipologia_Testes]],Auxiliar!$B$5:$B$13,0),MATCH(Table1[[#This Row],[Complexidade]],Auxiliar!$D$4:$F$4,0))</f>
        <v>0.1</v>
      </c>
      <c r="P677" s="23" t="s">
        <v>1282</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1246</v>
      </c>
      <c r="L678" s="29" t="s">
        <v>1244</v>
      </c>
      <c r="M678" s="21" t="s">
        <v>1245</v>
      </c>
      <c r="N678" s="48">
        <v>45618</v>
      </c>
      <c r="O678" s="21">
        <f>INDEX(Auxiliar!$D$5:$F$13,MATCH(Table1[[#This Row],[Tipologia_Testes]],Auxiliar!$B$5:$B$13,0),MATCH(Table1[[#This Row],[Complexidade]],Auxiliar!$D$4:$F$4,0))</f>
        <v>8</v>
      </c>
      <c r="P678" s="23" t="s">
        <v>1282</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1247</v>
      </c>
      <c r="L679" s="29" t="s">
        <v>1244</v>
      </c>
      <c r="M679" s="21" t="s">
        <v>1245</v>
      </c>
      <c r="N679" s="48">
        <v>45618</v>
      </c>
      <c r="O679" s="21">
        <f>INDEX(Auxiliar!$D$5:$F$13,MATCH(Table1[[#This Row],[Tipologia_Testes]],Auxiliar!$B$5:$B$13,0),MATCH(Table1[[#This Row],[Complexidade]],Auxiliar!$D$4:$F$4,0))</f>
        <v>8</v>
      </c>
      <c r="P679" s="23" t="s">
        <v>1282</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1249</v>
      </c>
      <c r="L680" s="29" t="s">
        <v>1244</v>
      </c>
      <c r="M680" s="21" t="s">
        <v>1245</v>
      </c>
      <c r="N680" s="48">
        <v>45618</v>
      </c>
      <c r="O680" s="21">
        <f>INDEX(Auxiliar!$D$5:$F$13,MATCH(Table1[[#This Row],[Tipologia_Testes]],Auxiliar!$B$5:$B$13,0),MATCH(Table1[[#This Row],[Complexidade]],Auxiliar!$D$4:$F$4,0))</f>
        <v>0.1</v>
      </c>
      <c r="P680" s="23" t="s">
        <v>1282</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1246</v>
      </c>
      <c r="L681" s="29" t="s">
        <v>1252</v>
      </c>
      <c r="M681" s="21" t="s">
        <v>1253</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1247</v>
      </c>
      <c r="L682" s="29" t="s">
        <v>1252</v>
      </c>
      <c r="M682" s="21" t="s">
        <v>1253</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1249</v>
      </c>
      <c r="L683" s="29" t="s">
        <v>1252</v>
      </c>
      <c r="M683" s="21" t="s">
        <v>1253</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1246</v>
      </c>
      <c r="L684" s="29" t="s">
        <v>1252</v>
      </c>
      <c r="M684" s="21" t="s">
        <v>1253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1247</v>
      </c>
      <c r="L685" s="29" t="s">
        <v>1252</v>
      </c>
      <c r="M685" s="21" t="s">
        <v>1253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1249</v>
      </c>
      <c r="L686" s="29" t="s">
        <v>1252</v>
      </c>
      <c r="M686" s="21" t="s">
        <v>1253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1246</v>
      </c>
      <c r="L687" s="29" t="s">
        <v>1252</v>
      </c>
      <c r="M687" s="21" t="s">
        <v>1253</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1247</v>
      </c>
      <c r="L688" s="29" t="s">
        <v>1252</v>
      </c>
      <c r="M688" s="21" t="s">
        <v>1253</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1249</v>
      </c>
      <c r="L689" s="29" t="s">
        <v>1252</v>
      </c>
      <c r="M689" s="21" t="s">
        <v>1253</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1922</v>
      </c>
      <c r="J690" s="43">
        <f>VLOOKUP(Table1[[#This Row],[Status]],Auxiliar!$B$16:$C$24,2,0)</f>
        <v>3</v>
      </c>
      <c r="K690" s="2" t="s">
        <v>1243</v>
      </c>
      <c r="L690" s="29" t="s">
        <v>1244</v>
      </c>
      <c r="M690" s="21" t="s">
        <v>1245</v>
      </c>
      <c r="N690" s="48">
        <v>45667</v>
      </c>
      <c r="O690" s="21">
        <f>INDEX(Auxiliar!$D$5:$F$13,MATCH(Table1[[#This Row],[Tipologia_Testes]],Auxiliar!$B$5:$B$13,0),MATCH(Table1[[#This Row],[Complexidade]],Auxiliar!$D$4:$F$4,0))</f>
        <v>8</v>
      </c>
      <c r="P690" s="23" t="s">
        <v>1283</v>
      </c>
      <c r="Q690" s="2"/>
      <c r="R690" s="152">
        <v>45563</v>
      </c>
      <c r="S690" s="152"/>
      <c r="T690" s="152">
        <v>45563</v>
      </c>
      <c r="U690" s="152">
        <v>45624</v>
      </c>
      <c r="V690" s="152">
        <v>45629</v>
      </c>
      <c r="W690" s="2">
        <f>VLOOKUP(Table1[[#This Row],[Status]],Auxiliar!$B$16:$D$24,3,0)*Table1[[#This Row],[Estimação (horas)]]</f>
        <v>4</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1922</v>
      </c>
      <c r="J691" s="43">
        <f>VLOOKUP(Table1[[#This Row],[Status]],Auxiliar!$B$16:$C$24,2,0)</f>
        <v>3</v>
      </c>
      <c r="K691" s="2" t="s">
        <v>1246</v>
      </c>
      <c r="L691" s="29" t="s">
        <v>1252</v>
      </c>
      <c r="M691" s="21" t="s">
        <v>1253</v>
      </c>
      <c r="N691" s="48">
        <v>45667</v>
      </c>
      <c r="O691" s="21">
        <f>INDEX(Auxiliar!$D$5:$F$13,MATCH(Table1[[#This Row],[Tipologia_Testes]],Auxiliar!$B$5:$B$13,0),MATCH(Table1[[#This Row],[Complexidade]],Auxiliar!$D$4:$F$4,0))</f>
        <v>2</v>
      </c>
      <c r="P691" s="2"/>
      <c r="Q691" s="2"/>
      <c r="R691" s="152">
        <v>45563</v>
      </c>
      <c r="S691" s="152"/>
      <c r="T691" s="152">
        <v>45563</v>
      </c>
      <c r="U691" s="152">
        <v>45624</v>
      </c>
      <c r="V691" s="152">
        <v>45629</v>
      </c>
      <c r="W691" s="2">
        <f>VLOOKUP(Table1[[#This Row],[Status]],Auxiliar!$B$16:$D$24,3,0)*Table1[[#This Row],[Estimação (horas)]]</f>
        <v>1</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1922</v>
      </c>
      <c r="J692" s="43">
        <f>VLOOKUP(Table1[[#This Row],[Status]],Auxiliar!$B$16:$C$24,2,0)</f>
        <v>3</v>
      </c>
      <c r="K692" s="2" t="s">
        <v>1247</v>
      </c>
      <c r="L692" s="29" t="s">
        <v>1252</v>
      </c>
      <c r="M692" s="21" t="s">
        <v>1253</v>
      </c>
      <c r="N692" s="48">
        <v>45667</v>
      </c>
      <c r="O692" s="21">
        <f>INDEX(Auxiliar!$D$5:$F$13,MATCH(Table1[[#This Row],[Tipologia_Testes]],Auxiliar!$B$5:$B$13,0),MATCH(Table1[[#This Row],[Complexidade]],Auxiliar!$D$4:$F$4,0))</f>
        <v>2</v>
      </c>
      <c r="P692" s="2"/>
      <c r="Q692" s="2"/>
      <c r="R692" s="152">
        <v>45563</v>
      </c>
      <c r="S692" s="152"/>
      <c r="T692" s="152">
        <v>45563</v>
      </c>
      <c r="U692" s="152">
        <v>45624</v>
      </c>
      <c r="V692" s="152">
        <v>45629</v>
      </c>
      <c r="W692" s="2">
        <f>VLOOKUP(Table1[[#This Row],[Status]],Auxiliar!$B$16:$D$24,3,0)*Table1[[#This Row],[Estimação (horas)]]</f>
        <v>1</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1922</v>
      </c>
      <c r="J693" s="43">
        <f>VLOOKUP(Table1[[#This Row],[Status]],Auxiliar!$B$16:$C$24,2,0)</f>
        <v>3</v>
      </c>
      <c r="K693" s="2" t="s">
        <v>1249</v>
      </c>
      <c r="L693" s="29" t="s">
        <v>1252</v>
      </c>
      <c r="M693" s="21" t="s">
        <v>1253</v>
      </c>
      <c r="N693" s="48">
        <v>45667</v>
      </c>
      <c r="O693" s="21">
        <f>INDEX(Auxiliar!$D$5:$F$13,MATCH(Table1[[#This Row],[Tipologia_Testes]],Auxiliar!$B$5:$B$13,0),MATCH(Table1[[#This Row],[Complexidade]],Auxiliar!$D$4:$F$4,0))</f>
        <v>0.1</v>
      </c>
      <c r="P693" s="2"/>
      <c r="Q693" s="2"/>
      <c r="R693" s="152">
        <v>45563</v>
      </c>
      <c r="S693" s="152"/>
      <c r="T693" s="152">
        <v>45563</v>
      </c>
      <c r="U693" s="152">
        <v>45624</v>
      </c>
      <c r="V693" s="152">
        <v>45629</v>
      </c>
      <c r="W693" s="2">
        <f>VLOOKUP(Table1[[#This Row],[Status]],Auxiliar!$B$16:$D$24,3,0)*Table1[[#This Row],[Estimação (horas)]]</f>
        <v>0.05</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1922</v>
      </c>
      <c r="J694" s="43">
        <f>VLOOKUP(Table1[[#This Row],[Status]],Auxiliar!$B$16:$C$24,2,0)</f>
        <v>3</v>
      </c>
      <c r="K694" s="2" t="s">
        <v>1246</v>
      </c>
      <c r="L694" s="29" t="s">
        <v>1252</v>
      </c>
      <c r="M694" s="21" t="s">
        <v>1253</v>
      </c>
      <c r="N694" s="48">
        <v>45667</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1</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1922</v>
      </c>
      <c r="J695" s="43">
        <f>VLOOKUP(Table1[[#This Row],[Status]],Auxiliar!$B$16:$C$24,2,0)</f>
        <v>3</v>
      </c>
      <c r="K695" s="2" t="s">
        <v>1247</v>
      </c>
      <c r="L695" s="29" t="s">
        <v>1252</v>
      </c>
      <c r="M695" s="21" t="s">
        <v>1253</v>
      </c>
      <c r="N695" s="48">
        <v>45667</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1</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1922</v>
      </c>
      <c r="J696" s="43">
        <f>VLOOKUP(Table1[[#This Row],[Status]],Auxiliar!$B$16:$C$24,2,0)</f>
        <v>3</v>
      </c>
      <c r="K696" s="2" t="s">
        <v>1249</v>
      </c>
      <c r="L696" s="29" t="s">
        <v>1252</v>
      </c>
      <c r="M696" s="21" t="s">
        <v>1253</v>
      </c>
      <c r="N696" s="48">
        <v>45667</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0.05</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1922</v>
      </c>
      <c r="J697" s="43">
        <f>VLOOKUP(Table1[[#This Row],[Status]],Auxiliar!$B$16:$C$24,2,0)</f>
        <v>3</v>
      </c>
      <c r="K697" s="2" t="s">
        <v>1246</v>
      </c>
      <c r="L697" s="29" t="s">
        <v>1252</v>
      </c>
      <c r="M697" s="21" t="s">
        <v>1253</v>
      </c>
      <c r="N697" s="48">
        <v>45667</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1</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1922</v>
      </c>
      <c r="J698" s="43">
        <f>VLOOKUP(Table1[[#This Row],[Status]],Auxiliar!$B$16:$C$24,2,0)</f>
        <v>3</v>
      </c>
      <c r="K698" s="2" t="s">
        <v>1247</v>
      </c>
      <c r="L698" s="29" t="s">
        <v>1252</v>
      </c>
      <c r="M698" s="21" t="s">
        <v>1253</v>
      </c>
      <c r="N698" s="48">
        <v>45667</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1</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1922</v>
      </c>
      <c r="J699" s="43">
        <f>VLOOKUP(Table1[[#This Row],[Status]],Auxiliar!$B$16:$C$24,2,0)</f>
        <v>3</v>
      </c>
      <c r="K699" s="2" t="s">
        <v>1249</v>
      </c>
      <c r="L699" s="29" t="s">
        <v>1252</v>
      </c>
      <c r="M699" s="21" t="s">
        <v>1253</v>
      </c>
      <c r="N699" s="48">
        <v>45667</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0.05</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1922</v>
      </c>
      <c r="J700" s="43">
        <f>VLOOKUP(Table1[[#This Row],[Status]],Auxiliar!$B$16:$C$24,2,0)</f>
        <v>3</v>
      </c>
      <c r="K700" s="2" t="s">
        <v>1246</v>
      </c>
      <c r="L700" s="29" t="s">
        <v>1244</v>
      </c>
      <c r="M700" s="21" t="s">
        <v>1253</v>
      </c>
      <c r="N700" s="48">
        <v>45667</v>
      </c>
      <c r="O700" s="21">
        <f>INDEX(Auxiliar!$D$5:$F$13,MATCH(Table1[[#This Row],[Tipologia_Testes]],Auxiliar!$B$5:$B$13,0),MATCH(Table1[[#This Row],[Complexidade]],Auxiliar!$D$4:$F$4,0))</f>
        <v>2</v>
      </c>
      <c r="P700" s="2" t="s">
        <v>1284</v>
      </c>
      <c r="Q700" s="2"/>
      <c r="R700" s="152">
        <v>45563</v>
      </c>
      <c r="S700" s="152"/>
      <c r="T700" s="152">
        <v>45563</v>
      </c>
      <c r="U700" s="152">
        <v>45624</v>
      </c>
      <c r="V700" s="152">
        <v>45629</v>
      </c>
      <c r="W700" s="2">
        <f>VLOOKUP(Table1[[#This Row],[Status]],Auxiliar!$B$16:$D$24,3,0)*Table1[[#This Row],[Estimação (horas)]]</f>
        <v>1</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1922</v>
      </c>
      <c r="J701" s="43">
        <f>VLOOKUP(Table1[[#This Row],[Status]],Auxiliar!$B$16:$C$24,2,0)</f>
        <v>3</v>
      </c>
      <c r="K701" s="2" t="s">
        <v>1247</v>
      </c>
      <c r="L701" s="29" t="s">
        <v>1244</v>
      </c>
      <c r="M701" s="21" t="s">
        <v>1253</v>
      </c>
      <c r="N701" s="48">
        <v>45667</v>
      </c>
      <c r="O701" s="21">
        <f>INDEX(Auxiliar!$D$5:$F$13,MATCH(Table1[[#This Row],[Tipologia_Testes]],Auxiliar!$B$5:$B$13,0),MATCH(Table1[[#This Row],[Complexidade]],Auxiliar!$D$4:$F$4,0))</f>
        <v>2</v>
      </c>
      <c r="P701" s="2" t="s">
        <v>1284</v>
      </c>
      <c r="Q701" s="2"/>
      <c r="R701" s="152">
        <v>45563</v>
      </c>
      <c r="S701" s="152"/>
      <c r="T701" s="152">
        <v>45563</v>
      </c>
      <c r="U701" s="152">
        <v>45624</v>
      </c>
      <c r="V701" s="152">
        <v>45629</v>
      </c>
      <c r="W701" s="2">
        <f>VLOOKUP(Table1[[#This Row],[Status]],Auxiliar!$B$16:$D$24,3,0)*Table1[[#This Row],[Estimação (horas)]]</f>
        <v>1</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1922</v>
      </c>
      <c r="J702" s="43">
        <f>VLOOKUP(Table1[[#This Row],[Status]],Auxiliar!$B$16:$C$24,2,0)</f>
        <v>3</v>
      </c>
      <c r="K702" s="2" t="s">
        <v>1249</v>
      </c>
      <c r="L702" s="29" t="s">
        <v>1244</v>
      </c>
      <c r="M702" s="21" t="s">
        <v>1253</v>
      </c>
      <c r="N702" s="48">
        <v>45667</v>
      </c>
      <c r="O702" s="21">
        <f>INDEX(Auxiliar!$D$5:$F$13,MATCH(Table1[[#This Row],[Tipologia_Testes]],Auxiliar!$B$5:$B$13,0),MATCH(Table1[[#This Row],[Complexidade]],Auxiliar!$D$4:$F$4,0))</f>
        <v>0.1</v>
      </c>
      <c r="P702" s="2" t="s">
        <v>1284</v>
      </c>
      <c r="Q702" s="2"/>
      <c r="R702" s="152">
        <v>45563</v>
      </c>
      <c r="S702" s="152"/>
      <c r="T702" s="152">
        <v>45563</v>
      </c>
      <c r="U702" s="152">
        <v>45624</v>
      </c>
      <c r="V702" s="152">
        <v>45629</v>
      </c>
      <c r="W702" s="2">
        <f>VLOOKUP(Table1[[#This Row],[Status]],Auxiliar!$B$16:$D$24,3,0)*Table1[[#This Row],[Estimação (horas)]]</f>
        <v>0.05</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1246</v>
      </c>
      <c r="L703" s="29" t="s">
        <v>1285</v>
      </c>
      <c r="M703" s="21" t="s">
        <v>1253</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1247</v>
      </c>
      <c r="L704" s="29" t="s">
        <v>1285</v>
      </c>
      <c r="M704" s="21" t="s">
        <v>1253</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1249</v>
      </c>
      <c r="L705" s="29" t="s">
        <v>1285</v>
      </c>
      <c r="M705" s="21" t="s">
        <v>1253</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1922</v>
      </c>
      <c r="J706" s="43">
        <f>VLOOKUP(Table1[[#This Row],[Status]],Auxiliar!$B$16:$C$24,2,0)</f>
        <v>3</v>
      </c>
      <c r="K706" s="2" t="s">
        <v>1246</v>
      </c>
      <c r="L706" s="29" t="s">
        <v>1244</v>
      </c>
      <c r="M706" s="21" t="s">
        <v>1245</v>
      </c>
      <c r="N706" s="48">
        <v>45667</v>
      </c>
      <c r="O706" s="21">
        <f>INDEX(Auxiliar!$D$5:$F$13,MATCH(Table1[[#This Row],[Tipologia_Testes]],Auxiliar!$B$5:$B$13,0),MATCH(Table1[[#This Row],[Complexidade]],Auxiliar!$D$4:$F$4,0))</f>
        <v>8</v>
      </c>
      <c r="P706" s="23" t="s">
        <v>1286</v>
      </c>
      <c r="Q706" s="2"/>
      <c r="R706" s="152">
        <v>45563</v>
      </c>
      <c r="S706" s="152"/>
      <c r="T706" s="152">
        <v>45563</v>
      </c>
      <c r="U706" s="152">
        <v>45624</v>
      </c>
      <c r="V706" s="152">
        <v>45629</v>
      </c>
      <c r="W706" s="2">
        <f>VLOOKUP(Table1[[#This Row],[Status]],Auxiliar!$B$16:$D$24,3,0)*Table1[[#This Row],[Estimação (horas)]]</f>
        <v>4</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1922</v>
      </c>
      <c r="J707" s="43">
        <f>VLOOKUP(Table1[[#This Row],[Status]],Auxiliar!$B$16:$C$24,2,0)</f>
        <v>3</v>
      </c>
      <c r="K707" s="2" t="s">
        <v>1247</v>
      </c>
      <c r="L707" s="29" t="s">
        <v>1244</v>
      </c>
      <c r="M707" s="21" t="s">
        <v>1245</v>
      </c>
      <c r="N707" s="48">
        <v>45667</v>
      </c>
      <c r="O707" s="21">
        <f>INDEX(Auxiliar!$D$5:$F$13,MATCH(Table1[[#This Row],[Tipologia_Testes]],Auxiliar!$B$5:$B$13,0),MATCH(Table1[[#This Row],[Complexidade]],Auxiliar!$D$4:$F$4,0))</f>
        <v>8</v>
      </c>
      <c r="P707" s="23" t="s">
        <v>1286</v>
      </c>
      <c r="Q707" s="2"/>
      <c r="R707" s="152">
        <v>45563</v>
      </c>
      <c r="S707" s="152"/>
      <c r="T707" s="152">
        <v>45563</v>
      </c>
      <c r="U707" s="152">
        <v>45624</v>
      </c>
      <c r="V707" s="152">
        <v>45629</v>
      </c>
      <c r="W707" s="2">
        <f>VLOOKUP(Table1[[#This Row],[Status]],Auxiliar!$B$16:$D$24,3,0)*Table1[[#This Row],[Estimação (horas)]]</f>
        <v>4</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1922</v>
      </c>
      <c r="J708" s="43">
        <f>VLOOKUP(Table1[[#This Row],[Status]],Auxiliar!$B$16:$C$24,2,0)</f>
        <v>3</v>
      </c>
      <c r="K708" s="2" t="s">
        <v>1249</v>
      </c>
      <c r="L708" s="29" t="s">
        <v>1244</v>
      </c>
      <c r="M708" s="21" t="s">
        <v>1245</v>
      </c>
      <c r="N708" s="48">
        <v>45667</v>
      </c>
      <c r="O708" s="21">
        <f>INDEX(Auxiliar!$D$5:$F$13,MATCH(Table1[[#This Row],[Tipologia_Testes]],Auxiliar!$B$5:$B$13,0),MATCH(Table1[[#This Row],[Complexidade]],Auxiliar!$D$4:$F$4,0))</f>
        <v>0.1</v>
      </c>
      <c r="P708" s="23" t="s">
        <v>1286</v>
      </c>
      <c r="Q708" s="2"/>
      <c r="R708" s="152">
        <v>45563</v>
      </c>
      <c r="S708" s="152"/>
      <c r="T708" s="152">
        <v>45563</v>
      </c>
      <c r="U708" s="152">
        <v>45624</v>
      </c>
      <c r="V708" s="152">
        <v>45629</v>
      </c>
      <c r="W708" s="2">
        <f>VLOOKUP(Table1[[#This Row],[Status]],Auxiliar!$B$16:$D$24,3,0)*Table1[[#This Row],[Estimação (horas)]]</f>
        <v>0.05</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1922</v>
      </c>
      <c r="J709" s="43">
        <f>VLOOKUP(Table1[[#This Row],[Status]],Auxiliar!$B$16:$C$24,2,0)</f>
        <v>3</v>
      </c>
      <c r="K709" s="2" t="s">
        <v>1246</v>
      </c>
      <c r="L709" s="29" t="s">
        <v>1244</v>
      </c>
      <c r="M709" s="21" t="s">
        <v>1245</v>
      </c>
      <c r="N709" s="48">
        <v>45667</v>
      </c>
      <c r="O709" s="21">
        <f>INDEX(Auxiliar!$D$5:$F$13,MATCH(Table1[[#This Row],[Tipologia_Testes]],Auxiliar!$B$5:$B$13,0),MATCH(Table1[[#This Row],[Complexidade]],Auxiliar!$D$4:$F$4,0))</f>
        <v>8</v>
      </c>
      <c r="P709" s="23" t="s">
        <v>1287</v>
      </c>
      <c r="Q709" s="2"/>
      <c r="R709" s="152">
        <v>45562</v>
      </c>
      <c r="S709" s="152"/>
      <c r="T709" s="152">
        <v>45562</v>
      </c>
      <c r="U709" s="152">
        <v>45624</v>
      </c>
      <c r="V709" s="152">
        <v>45629</v>
      </c>
      <c r="W709" s="2">
        <f>VLOOKUP(Table1[[#This Row],[Status]],Auxiliar!$B$16:$D$24,3,0)*Table1[[#This Row],[Estimação (horas)]]</f>
        <v>4</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1922</v>
      </c>
      <c r="J710" s="43">
        <f>VLOOKUP(Table1[[#This Row],[Status]],Auxiliar!$B$16:$C$24,2,0)</f>
        <v>3</v>
      </c>
      <c r="K710" s="2" t="s">
        <v>1247</v>
      </c>
      <c r="L710" s="29" t="s">
        <v>1244</v>
      </c>
      <c r="M710" s="21" t="s">
        <v>1245</v>
      </c>
      <c r="N710" s="48">
        <v>45667</v>
      </c>
      <c r="O710" s="21">
        <f>INDEX(Auxiliar!$D$5:$F$13,MATCH(Table1[[#This Row],[Tipologia_Testes]],Auxiliar!$B$5:$B$13,0),MATCH(Table1[[#This Row],[Complexidade]],Auxiliar!$D$4:$F$4,0))</f>
        <v>8</v>
      </c>
      <c r="P710" s="23" t="s">
        <v>1287</v>
      </c>
      <c r="Q710" s="2"/>
      <c r="R710" s="152">
        <v>45562</v>
      </c>
      <c r="S710" s="152"/>
      <c r="T710" s="152">
        <v>45562</v>
      </c>
      <c r="U710" s="152">
        <v>45624</v>
      </c>
      <c r="V710" s="152">
        <v>45629</v>
      </c>
      <c r="W710" s="2">
        <f>VLOOKUP(Table1[[#This Row],[Status]],Auxiliar!$B$16:$D$24,3,0)*Table1[[#This Row],[Estimação (horas)]]</f>
        <v>4</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1922</v>
      </c>
      <c r="J711" s="43">
        <f>VLOOKUP(Table1[[#This Row],[Status]],Auxiliar!$B$16:$C$24,2,0)</f>
        <v>3</v>
      </c>
      <c r="K711" s="2" t="s">
        <v>1249</v>
      </c>
      <c r="L711" s="29" t="s">
        <v>1244</v>
      </c>
      <c r="M711" s="21" t="s">
        <v>1245</v>
      </c>
      <c r="N711" s="48">
        <v>45667</v>
      </c>
      <c r="O711" s="21">
        <f>INDEX(Auxiliar!$D$5:$F$13,MATCH(Table1[[#This Row],[Tipologia_Testes]],Auxiliar!$B$5:$B$13,0),MATCH(Table1[[#This Row],[Complexidade]],Auxiliar!$D$4:$F$4,0))</f>
        <v>0.1</v>
      </c>
      <c r="P711" s="23" t="s">
        <v>1287</v>
      </c>
      <c r="Q711" s="2"/>
      <c r="R711" s="152">
        <v>45562</v>
      </c>
      <c r="S711" s="152"/>
      <c r="T711" s="152">
        <v>45562</v>
      </c>
      <c r="U711" s="152">
        <v>45624</v>
      </c>
      <c r="V711" s="152">
        <v>45629</v>
      </c>
      <c r="W711" s="2">
        <f>VLOOKUP(Table1[[#This Row],[Status]],Auxiliar!$B$16:$D$24,3,0)*Table1[[#This Row],[Estimação (horas)]]</f>
        <v>0.05</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1922</v>
      </c>
      <c r="J712" s="43">
        <f>VLOOKUP(Table1[[#This Row],[Status]],Auxiliar!$B$16:$C$24,2,0)</f>
        <v>3</v>
      </c>
      <c r="K712" s="2" t="s">
        <v>1246</v>
      </c>
      <c r="L712" s="29" t="s">
        <v>1244</v>
      </c>
      <c r="M712" s="21" t="s">
        <v>1254</v>
      </c>
      <c r="N712" s="48">
        <v>45667</v>
      </c>
      <c r="O712" s="21">
        <f>INDEX(Auxiliar!$D$5:$F$13,MATCH(Table1[[#This Row],[Tipologia_Testes]],Auxiliar!$B$5:$B$13,0),MATCH(Table1[[#This Row],[Complexidade]],Auxiliar!$D$4:$F$4,0))</f>
        <v>4</v>
      </c>
      <c r="P712" s="2" t="s">
        <v>1288</v>
      </c>
      <c r="Q712" s="2"/>
      <c r="R712" s="152">
        <v>45563</v>
      </c>
      <c r="S712" s="152"/>
      <c r="T712" s="152">
        <v>45563</v>
      </c>
      <c r="U712" s="152">
        <v>45624</v>
      </c>
      <c r="V712" s="152">
        <v>45629</v>
      </c>
      <c r="W712" s="2">
        <f>VLOOKUP(Table1[[#This Row],[Status]],Auxiliar!$B$16:$D$24,3,0)*Table1[[#This Row],[Estimação (horas)]]</f>
        <v>2</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1922</v>
      </c>
      <c r="J713" s="43">
        <f>VLOOKUP(Table1[[#This Row],[Status]],Auxiliar!$B$16:$C$24,2,0)</f>
        <v>3</v>
      </c>
      <c r="K713" s="2" t="s">
        <v>1247</v>
      </c>
      <c r="L713" s="29" t="s">
        <v>1244</v>
      </c>
      <c r="M713" s="21" t="s">
        <v>1254</v>
      </c>
      <c r="N713" s="48">
        <v>45667</v>
      </c>
      <c r="O713" s="21">
        <f>INDEX(Auxiliar!$D$5:$F$13,MATCH(Table1[[#This Row],[Tipologia_Testes]],Auxiliar!$B$5:$B$13,0),MATCH(Table1[[#This Row],[Complexidade]],Auxiliar!$D$4:$F$4,0))</f>
        <v>4</v>
      </c>
      <c r="P713" s="2" t="s">
        <v>1288</v>
      </c>
      <c r="Q713" s="2"/>
      <c r="R713" s="152">
        <v>45563</v>
      </c>
      <c r="S713" s="152"/>
      <c r="T713" s="152">
        <v>45563</v>
      </c>
      <c r="U713" s="152">
        <v>45624</v>
      </c>
      <c r="V713" s="152">
        <v>45629</v>
      </c>
      <c r="W713" s="2">
        <f>VLOOKUP(Table1[[#This Row],[Status]],Auxiliar!$B$16:$D$24,3,0)*Table1[[#This Row],[Estimação (horas)]]</f>
        <v>2</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1922</v>
      </c>
      <c r="J714" s="43">
        <f>VLOOKUP(Table1[[#This Row],[Status]],Auxiliar!$B$16:$C$24,2,0)</f>
        <v>3</v>
      </c>
      <c r="K714" s="2" t="s">
        <v>1249</v>
      </c>
      <c r="L714" s="29" t="s">
        <v>1244</v>
      </c>
      <c r="M714" s="21" t="s">
        <v>1254</v>
      </c>
      <c r="N714" s="48">
        <v>45667</v>
      </c>
      <c r="O714" s="21">
        <f>INDEX(Auxiliar!$D$5:$F$13,MATCH(Table1[[#This Row],[Tipologia_Testes]],Auxiliar!$B$5:$B$13,0),MATCH(Table1[[#This Row],[Complexidade]],Auxiliar!$D$4:$F$4,0))</f>
        <v>0.1</v>
      </c>
      <c r="P714" s="2" t="s">
        <v>1288</v>
      </c>
      <c r="Q714" s="2"/>
      <c r="R714" s="152">
        <v>45563</v>
      </c>
      <c r="S714" s="152"/>
      <c r="T714" s="152">
        <v>45563</v>
      </c>
      <c r="U714" s="152">
        <v>45624</v>
      </c>
      <c r="V714" s="152">
        <v>45629</v>
      </c>
      <c r="W714" s="2">
        <f>VLOOKUP(Table1[[#This Row],[Status]],Auxiliar!$B$16:$D$24,3,0)*Table1[[#This Row],[Estimação (horas)]]</f>
        <v>0.05</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1922</v>
      </c>
      <c r="J715" s="43">
        <f>VLOOKUP(Table1[[#This Row],[Status]],Auxiliar!$B$16:$C$24,2,0)</f>
        <v>3</v>
      </c>
      <c r="K715" s="2" t="s">
        <v>1246</v>
      </c>
      <c r="L715" s="29" t="s">
        <v>1252</v>
      </c>
      <c r="M715" s="21" t="s">
        <v>1254</v>
      </c>
      <c r="N715" s="48">
        <v>45667</v>
      </c>
      <c r="O715" s="21">
        <f>INDEX(Auxiliar!$D$5:$F$13,MATCH(Table1[[#This Row],[Tipologia_Testes]],Auxiliar!$B$5:$B$13,0),MATCH(Table1[[#This Row],[Complexidade]],Auxiliar!$D$4:$F$4,0))</f>
        <v>4</v>
      </c>
      <c r="P715" s="2"/>
      <c r="Q715" s="2"/>
      <c r="R715" s="152">
        <v>45563</v>
      </c>
      <c r="S715" s="152"/>
      <c r="T715" s="152">
        <v>45563</v>
      </c>
      <c r="U715" s="152">
        <v>45624</v>
      </c>
      <c r="V715" s="152">
        <v>45629</v>
      </c>
      <c r="W715" s="2">
        <f>VLOOKUP(Table1[[#This Row],[Status]],Auxiliar!$B$16:$D$24,3,0)*Table1[[#This Row],[Estimação (horas)]]</f>
        <v>2</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1922</v>
      </c>
      <c r="J716" s="43">
        <f>VLOOKUP(Table1[[#This Row],[Status]],Auxiliar!$B$16:$C$24,2,0)</f>
        <v>3</v>
      </c>
      <c r="K716" s="2" t="s">
        <v>1247</v>
      </c>
      <c r="L716" s="29" t="s">
        <v>1252</v>
      </c>
      <c r="M716" s="21" t="s">
        <v>1254</v>
      </c>
      <c r="N716" s="48">
        <v>45667</v>
      </c>
      <c r="O716" s="21">
        <f>INDEX(Auxiliar!$D$5:$F$13,MATCH(Table1[[#This Row],[Tipologia_Testes]],Auxiliar!$B$5:$B$13,0),MATCH(Table1[[#This Row],[Complexidade]],Auxiliar!$D$4:$F$4,0))</f>
        <v>4</v>
      </c>
      <c r="P716" s="2"/>
      <c r="Q716" s="2"/>
      <c r="R716" s="152">
        <v>45563</v>
      </c>
      <c r="S716" s="152"/>
      <c r="T716" s="152">
        <v>45563</v>
      </c>
      <c r="U716" s="152">
        <v>45624</v>
      </c>
      <c r="V716" s="152">
        <v>45629</v>
      </c>
      <c r="W716" s="2">
        <f>VLOOKUP(Table1[[#This Row],[Status]],Auxiliar!$B$16:$D$24,3,0)*Table1[[#This Row],[Estimação (horas)]]</f>
        <v>2</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1922</v>
      </c>
      <c r="J717" s="43">
        <f>VLOOKUP(Table1[[#This Row],[Status]],Auxiliar!$B$16:$C$24,2,0)</f>
        <v>3</v>
      </c>
      <c r="K717" s="2" t="s">
        <v>1249</v>
      </c>
      <c r="L717" s="29" t="s">
        <v>1252</v>
      </c>
      <c r="M717" s="21" t="s">
        <v>1254</v>
      </c>
      <c r="N717" s="48">
        <v>45667</v>
      </c>
      <c r="O717" s="21">
        <f>INDEX(Auxiliar!$D$5:$F$13,MATCH(Table1[[#This Row],[Tipologia_Testes]],Auxiliar!$B$5:$B$13,0),MATCH(Table1[[#This Row],[Complexidade]],Auxiliar!$D$4:$F$4,0))</f>
        <v>0.1</v>
      </c>
      <c r="P717" s="2"/>
      <c r="Q717" s="2"/>
      <c r="R717" s="152">
        <v>45563</v>
      </c>
      <c r="S717" s="152"/>
      <c r="T717" s="152">
        <v>45563</v>
      </c>
      <c r="U717" s="152">
        <v>45624</v>
      </c>
      <c r="V717" s="152">
        <v>45629</v>
      </c>
      <c r="W717" s="2">
        <f>VLOOKUP(Table1[[#This Row],[Status]],Auxiliar!$B$16:$D$24,3,0)*Table1[[#This Row],[Estimação (horas)]]</f>
        <v>0.05</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1922</v>
      </c>
      <c r="J718" s="43">
        <f>VLOOKUP(Table1[[#This Row],[Status]],Auxiliar!$B$16:$C$24,2,0)</f>
        <v>3</v>
      </c>
      <c r="K718" s="2" t="s">
        <v>1246</v>
      </c>
      <c r="L718" s="29" t="s">
        <v>1244</v>
      </c>
      <c r="M718" s="21" t="s">
        <v>1254</v>
      </c>
      <c r="N718" s="48">
        <v>45667</v>
      </c>
      <c r="O718" s="21">
        <f>INDEX(Auxiliar!$D$5:$F$13,MATCH(Table1[[#This Row],[Tipologia_Testes]],Auxiliar!$B$5:$B$13,0),MATCH(Table1[[#This Row],[Complexidade]],Auxiliar!$D$4:$F$4,0))</f>
        <v>4</v>
      </c>
      <c r="P718" s="2" t="s">
        <v>1288</v>
      </c>
      <c r="Q718" s="2"/>
      <c r="R718" s="152">
        <v>45563</v>
      </c>
      <c r="S718" s="152"/>
      <c r="T718" s="152">
        <v>45563</v>
      </c>
      <c r="U718" s="152">
        <v>45624</v>
      </c>
      <c r="V718" s="152">
        <v>45629</v>
      </c>
      <c r="W718" s="2">
        <f>VLOOKUP(Table1[[#This Row],[Status]],Auxiliar!$B$16:$D$24,3,0)*Table1[[#This Row],[Estimação (horas)]]</f>
        <v>2</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1922</v>
      </c>
      <c r="J719" s="43">
        <f>VLOOKUP(Table1[[#This Row],[Status]],Auxiliar!$B$16:$C$24,2,0)</f>
        <v>3</v>
      </c>
      <c r="K719" s="2" t="s">
        <v>1247</v>
      </c>
      <c r="L719" s="29" t="s">
        <v>1244</v>
      </c>
      <c r="M719" s="21" t="s">
        <v>1254</v>
      </c>
      <c r="N719" s="48">
        <v>45667</v>
      </c>
      <c r="O719" s="21">
        <f>INDEX(Auxiliar!$D$5:$F$13,MATCH(Table1[[#This Row],[Tipologia_Testes]],Auxiliar!$B$5:$B$13,0),MATCH(Table1[[#This Row],[Complexidade]],Auxiliar!$D$4:$F$4,0))</f>
        <v>4</v>
      </c>
      <c r="P719" s="2" t="s">
        <v>1288</v>
      </c>
      <c r="Q719" s="2"/>
      <c r="R719" s="152">
        <v>45563</v>
      </c>
      <c r="S719" s="152"/>
      <c r="T719" s="152">
        <v>45563</v>
      </c>
      <c r="U719" s="152">
        <v>45624</v>
      </c>
      <c r="V719" s="152">
        <v>45629</v>
      </c>
      <c r="W719" s="2">
        <f>VLOOKUP(Table1[[#This Row],[Status]],Auxiliar!$B$16:$D$24,3,0)*Table1[[#This Row],[Estimação (horas)]]</f>
        <v>2</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1922</v>
      </c>
      <c r="J720" s="43">
        <f>VLOOKUP(Table1[[#This Row],[Status]],Auxiliar!$B$16:$C$24,2,0)</f>
        <v>3</v>
      </c>
      <c r="K720" s="2" t="s">
        <v>1249</v>
      </c>
      <c r="L720" s="29" t="s">
        <v>1244</v>
      </c>
      <c r="M720" s="21" t="s">
        <v>1254</v>
      </c>
      <c r="N720" s="48">
        <v>45667</v>
      </c>
      <c r="O720" s="21">
        <f>INDEX(Auxiliar!$D$5:$F$13,MATCH(Table1[[#This Row],[Tipologia_Testes]],Auxiliar!$B$5:$B$13,0),MATCH(Table1[[#This Row],[Complexidade]],Auxiliar!$D$4:$F$4,0))</f>
        <v>0.1</v>
      </c>
      <c r="P720" s="2" t="s">
        <v>1288</v>
      </c>
      <c r="Q720" s="2"/>
      <c r="R720" s="152">
        <v>45563</v>
      </c>
      <c r="S720" s="152"/>
      <c r="T720" s="152">
        <v>45563</v>
      </c>
      <c r="U720" s="152">
        <v>45624</v>
      </c>
      <c r="V720" s="152">
        <v>45629</v>
      </c>
      <c r="W720" s="2">
        <f>VLOOKUP(Table1[[#This Row],[Status]],Auxiliar!$B$16:$D$24,3,0)*Table1[[#This Row],[Estimação (horas)]]</f>
        <v>0.05</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1922</v>
      </c>
      <c r="J721" s="43">
        <f>VLOOKUP(Table1[[#This Row],[Status]],Auxiliar!$B$16:$C$24,2,0)</f>
        <v>3</v>
      </c>
      <c r="K721" s="2" t="s">
        <v>1246</v>
      </c>
      <c r="L721" s="29" t="s">
        <v>1244</v>
      </c>
      <c r="M721" s="21" t="s">
        <v>1254</v>
      </c>
      <c r="N721" s="48">
        <v>45667</v>
      </c>
      <c r="O721" s="21">
        <f>INDEX(Auxiliar!$D$5:$F$13,MATCH(Table1[[#This Row],[Tipologia_Testes]],Auxiliar!$B$5:$B$13,0),MATCH(Table1[[#This Row],[Complexidade]],Auxiliar!$D$4:$F$4,0))</f>
        <v>4</v>
      </c>
      <c r="P721" s="2" t="s">
        <v>1288</v>
      </c>
      <c r="Q721" s="2"/>
      <c r="R721" s="152">
        <v>45563</v>
      </c>
      <c r="S721" s="152"/>
      <c r="T721" s="152">
        <v>45563</v>
      </c>
      <c r="U721" s="152">
        <v>45624</v>
      </c>
      <c r="V721" s="152">
        <v>45629</v>
      </c>
      <c r="W721" s="2">
        <f>VLOOKUP(Table1[[#This Row],[Status]],Auxiliar!$B$16:$D$24,3,0)*Table1[[#This Row],[Estimação (horas)]]</f>
        <v>2</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1922</v>
      </c>
      <c r="J722" s="43">
        <f>VLOOKUP(Table1[[#This Row],[Status]],Auxiliar!$B$16:$C$24,2,0)</f>
        <v>3</v>
      </c>
      <c r="K722" s="2" t="s">
        <v>1247</v>
      </c>
      <c r="L722" s="29" t="s">
        <v>1244</v>
      </c>
      <c r="M722" s="21" t="s">
        <v>1254</v>
      </c>
      <c r="N722" s="48">
        <v>45667</v>
      </c>
      <c r="O722" s="21">
        <f>INDEX(Auxiliar!$D$5:$F$13,MATCH(Table1[[#This Row],[Tipologia_Testes]],Auxiliar!$B$5:$B$13,0),MATCH(Table1[[#This Row],[Complexidade]],Auxiliar!$D$4:$F$4,0))</f>
        <v>4</v>
      </c>
      <c r="P722" s="2" t="s">
        <v>1288</v>
      </c>
      <c r="Q722" s="2"/>
      <c r="R722" s="152">
        <v>45563</v>
      </c>
      <c r="S722" s="152"/>
      <c r="T722" s="152">
        <v>45563</v>
      </c>
      <c r="U722" s="152">
        <v>45624</v>
      </c>
      <c r="V722" s="152">
        <v>45629</v>
      </c>
      <c r="W722" s="2">
        <f>VLOOKUP(Table1[[#This Row],[Status]],Auxiliar!$B$16:$D$24,3,0)*Table1[[#This Row],[Estimação (horas)]]</f>
        <v>2</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1922</v>
      </c>
      <c r="J723" s="43">
        <f>VLOOKUP(Table1[[#This Row],[Status]],Auxiliar!$B$16:$C$24,2,0)</f>
        <v>3</v>
      </c>
      <c r="K723" s="2" t="s">
        <v>1249</v>
      </c>
      <c r="L723" s="29" t="s">
        <v>1244</v>
      </c>
      <c r="M723" s="21" t="s">
        <v>1254</v>
      </c>
      <c r="N723" s="48">
        <v>45667</v>
      </c>
      <c r="O723" s="21">
        <f>INDEX(Auxiliar!$D$5:$F$13,MATCH(Table1[[#This Row],[Tipologia_Testes]],Auxiliar!$B$5:$B$13,0),MATCH(Table1[[#This Row],[Complexidade]],Auxiliar!$D$4:$F$4,0))</f>
        <v>0.1</v>
      </c>
      <c r="P723" s="2" t="s">
        <v>1288</v>
      </c>
      <c r="Q723" s="2"/>
      <c r="R723" s="152">
        <v>45563</v>
      </c>
      <c r="S723" s="152"/>
      <c r="T723" s="152">
        <v>45563</v>
      </c>
      <c r="U723" s="152">
        <v>45624</v>
      </c>
      <c r="V723" s="152">
        <v>45629</v>
      </c>
      <c r="W723" s="2">
        <f>VLOOKUP(Table1[[#This Row],[Status]],Auxiliar!$B$16:$D$24,3,0)*Table1[[#This Row],[Estimação (horas)]]</f>
        <v>0.05</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1246</v>
      </c>
      <c r="L724" s="29" t="s">
        <v>1252</v>
      </c>
      <c r="M724" s="21" t="s">
        <v>1253</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1247</v>
      </c>
      <c r="L725" s="29" t="s">
        <v>1252</v>
      </c>
      <c r="M725" s="21" t="s">
        <v>1253</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1249</v>
      </c>
      <c r="L726" s="29" t="s">
        <v>1252</v>
      </c>
      <c r="M726" s="21" t="s">
        <v>1253</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1922</v>
      </c>
      <c r="J727" s="43">
        <f>VLOOKUP(Table1[[#This Row],[Status]],Auxiliar!$B$16:$C$24,2,0)</f>
        <v>3</v>
      </c>
      <c r="K727" s="2" t="s">
        <v>1246</v>
      </c>
      <c r="L727" s="29" t="s">
        <v>1252</v>
      </c>
      <c r="M727" s="21" t="s">
        <v>1253</v>
      </c>
      <c r="N727" s="48">
        <v>45667</v>
      </c>
      <c r="O727" s="21">
        <f>INDEX(Auxiliar!$D$5:$F$13,MATCH(Table1[[#This Row],[Tipologia_Testes]],Auxiliar!$B$5:$B$13,0),MATCH(Table1[[#This Row],[Complexidade]],Auxiliar!$D$4:$F$4,0))</f>
        <v>2</v>
      </c>
      <c r="P727" s="2"/>
      <c r="Q727" s="2"/>
      <c r="R727" s="152">
        <v>45563</v>
      </c>
      <c r="S727" s="152"/>
      <c r="T727" s="152">
        <v>45561</v>
      </c>
      <c r="U727" s="152">
        <v>45624</v>
      </c>
      <c r="V727" s="152">
        <v>45629</v>
      </c>
      <c r="W727" s="2">
        <f>VLOOKUP(Table1[[#This Row],[Status]],Auxiliar!$B$16:$D$24,3,0)*Table1[[#This Row],[Estimação (horas)]]</f>
        <v>1</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1922</v>
      </c>
      <c r="J728" s="43">
        <f>VLOOKUP(Table1[[#This Row],[Status]],Auxiliar!$B$16:$C$24,2,0)</f>
        <v>3</v>
      </c>
      <c r="K728" s="2" t="s">
        <v>1247</v>
      </c>
      <c r="L728" s="29" t="s">
        <v>1252</v>
      </c>
      <c r="M728" s="21" t="s">
        <v>1253</v>
      </c>
      <c r="N728" s="48">
        <v>45667</v>
      </c>
      <c r="O728" s="21">
        <f>INDEX(Auxiliar!$D$5:$F$13,MATCH(Table1[[#This Row],[Tipologia_Testes]],Auxiliar!$B$5:$B$13,0),MATCH(Table1[[#This Row],[Complexidade]],Auxiliar!$D$4:$F$4,0))</f>
        <v>2</v>
      </c>
      <c r="P728" s="2"/>
      <c r="Q728" s="2"/>
      <c r="R728" s="152">
        <v>45563</v>
      </c>
      <c r="S728" s="152"/>
      <c r="T728" s="152">
        <v>45561</v>
      </c>
      <c r="U728" s="152">
        <v>45624</v>
      </c>
      <c r="V728" s="152">
        <v>45629</v>
      </c>
      <c r="W728" s="2">
        <f>VLOOKUP(Table1[[#This Row],[Status]],Auxiliar!$B$16:$D$24,3,0)*Table1[[#This Row],[Estimação (horas)]]</f>
        <v>1</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1922</v>
      </c>
      <c r="J729" s="43">
        <f>VLOOKUP(Table1[[#This Row],[Status]],Auxiliar!$B$16:$C$24,2,0)</f>
        <v>3</v>
      </c>
      <c r="K729" s="2" t="s">
        <v>1249</v>
      </c>
      <c r="L729" s="29" t="s">
        <v>1252</v>
      </c>
      <c r="M729" s="21" t="s">
        <v>1253</v>
      </c>
      <c r="N729" s="48">
        <v>45667</v>
      </c>
      <c r="O729" s="21">
        <f>INDEX(Auxiliar!$D$5:$F$13,MATCH(Table1[[#This Row],[Tipologia_Testes]],Auxiliar!$B$5:$B$13,0),MATCH(Table1[[#This Row],[Complexidade]],Auxiliar!$D$4:$F$4,0))</f>
        <v>0.1</v>
      </c>
      <c r="P729" s="2"/>
      <c r="Q729" s="2"/>
      <c r="R729" s="152">
        <v>45563</v>
      </c>
      <c r="S729" s="152"/>
      <c r="T729" s="152">
        <v>45561</v>
      </c>
      <c r="U729" s="152">
        <v>45624</v>
      </c>
      <c r="V729" s="152">
        <v>45629</v>
      </c>
      <c r="W729" s="2">
        <f>VLOOKUP(Table1[[#This Row],[Status]],Auxiliar!$B$16:$D$24,3,0)*Table1[[#This Row],[Estimação (horas)]]</f>
        <v>0.05</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1922</v>
      </c>
      <c r="J730" s="43">
        <f>VLOOKUP(Table1[[#This Row],[Status]],Auxiliar!$B$16:$C$24,2,0)</f>
        <v>3</v>
      </c>
      <c r="K730" s="2" t="s">
        <v>1246</v>
      </c>
      <c r="L730" s="29" t="s">
        <v>1252</v>
      </c>
      <c r="M730" s="21" t="s">
        <v>1254</v>
      </c>
      <c r="N730" s="48">
        <v>45667</v>
      </c>
      <c r="O730" s="21">
        <f>INDEX(Auxiliar!$D$5:$F$13,MATCH(Table1[[#This Row],[Tipologia_Testes]],Auxiliar!$B$5:$B$13,0),MATCH(Table1[[#This Row],[Complexidade]],Auxiliar!$D$4:$F$4,0))</f>
        <v>4</v>
      </c>
      <c r="P730" s="2"/>
      <c r="Q730" s="2"/>
      <c r="R730" s="152">
        <v>45563</v>
      </c>
      <c r="S730" s="152"/>
      <c r="T730" s="152">
        <v>45561</v>
      </c>
      <c r="U730" s="152">
        <v>45624</v>
      </c>
      <c r="V730" s="152">
        <v>45629</v>
      </c>
      <c r="W730" s="2">
        <f>VLOOKUP(Table1[[#This Row],[Status]],Auxiliar!$B$16:$D$24,3,0)*Table1[[#This Row],[Estimação (horas)]]</f>
        <v>2</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1922</v>
      </c>
      <c r="J731" s="43">
        <f>VLOOKUP(Table1[[#This Row],[Status]],Auxiliar!$B$16:$C$24,2,0)</f>
        <v>3</v>
      </c>
      <c r="K731" s="2" t="s">
        <v>1247</v>
      </c>
      <c r="L731" s="29" t="s">
        <v>1252</v>
      </c>
      <c r="M731" s="21" t="s">
        <v>1254</v>
      </c>
      <c r="N731" s="48">
        <v>45667</v>
      </c>
      <c r="O731" s="21">
        <f>INDEX(Auxiliar!$D$5:$F$13,MATCH(Table1[[#This Row],[Tipologia_Testes]],Auxiliar!$B$5:$B$13,0),MATCH(Table1[[#This Row],[Complexidade]],Auxiliar!$D$4:$F$4,0))</f>
        <v>4</v>
      </c>
      <c r="P731" s="2"/>
      <c r="Q731" s="2"/>
      <c r="R731" s="152">
        <v>45563</v>
      </c>
      <c r="S731" s="152"/>
      <c r="T731" s="152">
        <v>45561</v>
      </c>
      <c r="U731" s="152">
        <v>45624</v>
      </c>
      <c r="V731" s="152">
        <v>45629</v>
      </c>
      <c r="W731" s="2">
        <f>VLOOKUP(Table1[[#This Row],[Status]],Auxiliar!$B$16:$D$24,3,0)*Table1[[#This Row],[Estimação (horas)]]</f>
        <v>2</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1922</v>
      </c>
      <c r="J732" s="43">
        <f>VLOOKUP(Table1[[#This Row],[Status]],Auxiliar!$B$16:$C$24,2,0)</f>
        <v>3</v>
      </c>
      <c r="K732" s="2" t="s">
        <v>1249</v>
      </c>
      <c r="L732" s="29" t="s">
        <v>1252</v>
      </c>
      <c r="M732" s="21" t="s">
        <v>1254</v>
      </c>
      <c r="N732" s="48">
        <v>45667</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0.05</v>
      </c>
      <c r="X732" s="2"/>
    </row>
    <row r="733" spans="2:24" ht="17.7" hidden="1" customHeight="1">
      <c r="B733" s="2" t="s">
        <v>26</v>
      </c>
      <c r="C733" s="2" t="s">
        <v>181</v>
      </c>
      <c r="D733" s="2" t="s">
        <v>1289</v>
      </c>
      <c r="E733" s="2" t="s">
        <v>38</v>
      </c>
      <c r="F733" s="2" t="s">
        <v>182</v>
      </c>
      <c r="G733" s="2" t="s">
        <v>38</v>
      </c>
      <c r="H733" s="57" t="str">
        <f>Table1[[#This Row],[Tabela]]&amp;Table1[[#This Row],[Campo]]</f>
        <v>modesg_param_sfcs_taxon_europeian.a.</v>
      </c>
      <c r="I733" s="2" t="s">
        <v>613</v>
      </c>
      <c r="J733" s="43">
        <f>VLOOKUP(Table1[[#This Row],[Status]],Auxiliar!$B$16:$C$24,2,0)</f>
        <v>1</v>
      </c>
      <c r="K733" s="2" t="s">
        <v>1243</v>
      </c>
      <c r="L733" s="29" t="s">
        <v>1252</v>
      </c>
      <c r="M733" s="21" t="s">
        <v>1245</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1289</v>
      </c>
      <c r="E734" s="2" t="s">
        <v>38</v>
      </c>
      <c r="F734" s="2" t="s">
        <v>182</v>
      </c>
      <c r="G734" s="2" t="s">
        <v>38</v>
      </c>
      <c r="H734" s="57" t="str">
        <f>Table1[[#This Row],[Tabela]]&amp;Table1[[#This Row],[Campo]]</f>
        <v>modesg_param_sfcs_taxon_europeian.a.</v>
      </c>
      <c r="I734" s="2" t="s">
        <v>613</v>
      </c>
      <c r="J734" s="43">
        <f>VLOOKUP(Table1[[#This Row],[Status]],Auxiliar!$B$16:$C$24,2,0)</f>
        <v>1</v>
      </c>
      <c r="K734" s="2" t="s">
        <v>1290</v>
      </c>
      <c r="L734" s="29" t="s">
        <v>1252</v>
      </c>
      <c r="M734" s="21" t="s">
        <v>1253</v>
      </c>
      <c r="N734" s="48">
        <v>45611</v>
      </c>
      <c r="O734" s="21">
        <f>INDEX(Auxiliar!$D$5:$F$13,MATCH(Table1[[#This Row],[Tipologia_Testes]],Auxiliar!$B$5:$B$13,0),MATCH(Table1[[#This Row],[Complexidade]],Auxiliar!$D$4:$F$4,0))</f>
        <v>0.5</v>
      </c>
      <c r="P734" s="23" t="s">
        <v>1291</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1289</v>
      </c>
      <c r="E735" s="2" t="s">
        <v>38</v>
      </c>
      <c r="F735" s="2" t="s">
        <v>182</v>
      </c>
      <c r="G735" s="2" t="s">
        <v>183</v>
      </c>
      <c r="H735" s="57" t="str">
        <f>Table1[[#This Row],[Tabela]]&amp;Table1[[#This Row],[Campo]]</f>
        <v>modesg_param_sfcs_taxon_europeiacbalcao</v>
      </c>
      <c r="I735" s="3" t="s">
        <v>613</v>
      </c>
      <c r="J735" s="55">
        <f>VLOOKUP(Table1[[#This Row],[Status]],Auxiliar!$B$16:$C$24,2,0)</f>
        <v>1</v>
      </c>
      <c r="K735" s="2" t="s">
        <v>1257</v>
      </c>
      <c r="L735" s="29" t="s">
        <v>1252</v>
      </c>
      <c r="M735" s="21" t="s">
        <v>1253</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1289</v>
      </c>
      <c r="E736" s="2" t="s">
        <v>38</v>
      </c>
      <c r="F736" s="2" t="s">
        <v>182</v>
      </c>
      <c r="G736" s="2" t="s">
        <v>183</v>
      </c>
      <c r="H736" s="57" t="str">
        <f>Table1[[#This Row],[Tabela]]&amp;Table1[[#This Row],[Campo]]</f>
        <v>modesg_param_sfcs_taxon_europeiacbalcao</v>
      </c>
      <c r="I736" s="3" t="s">
        <v>613</v>
      </c>
      <c r="J736" s="55">
        <f>VLOOKUP(Table1[[#This Row],[Status]],Auxiliar!$B$16:$C$24,2,0)</f>
        <v>1</v>
      </c>
      <c r="K736" s="2" t="s">
        <v>1249</v>
      </c>
      <c r="L736" s="29" t="s">
        <v>1252</v>
      </c>
      <c r="M736" s="21" t="s">
        <v>1253</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1289</v>
      </c>
      <c r="E737" s="2" t="s">
        <v>38</v>
      </c>
      <c r="F737" s="2" t="s">
        <v>182</v>
      </c>
      <c r="G737" s="2" t="s">
        <v>184</v>
      </c>
      <c r="H737" s="57" t="str">
        <f>Table1[[#This Row],[Tabela]]&amp;Table1[[#This Row],[Campo]]</f>
        <v>modesg_param_sfcs_taxon_europeiacempresa</v>
      </c>
      <c r="I737" s="3" t="s">
        <v>613</v>
      </c>
      <c r="J737" s="55">
        <f>VLOOKUP(Table1[[#This Row],[Status]],Auxiliar!$B$16:$C$24,2,0)</f>
        <v>1</v>
      </c>
      <c r="K737" s="2" t="s">
        <v>1257</v>
      </c>
      <c r="L737" s="29" t="s">
        <v>1252</v>
      </c>
      <c r="M737" s="21" t="s">
        <v>1253</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1289</v>
      </c>
      <c r="E738" s="2" t="s">
        <v>38</v>
      </c>
      <c r="F738" s="2" t="s">
        <v>182</v>
      </c>
      <c r="G738" s="2" t="s">
        <v>184</v>
      </c>
      <c r="H738" s="57" t="str">
        <f>Table1[[#This Row],[Tabela]]&amp;Table1[[#This Row],[Campo]]</f>
        <v>modesg_param_sfcs_taxon_europeiacempresa</v>
      </c>
      <c r="I738" s="3" t="s">
        <v>613</v>
      </c>
      <c r="J738" s="55">
        <f>VLOOKUP(Table1[[#This Row],[Status]],Auxiliar!$B$16:$C$24,2,0)</f>
        <v>1</v>
      </c>
      <c r="K738" s="2" t="s">
        <v>1249</v>
      </c>
      <c r="L738" s="29" t="s">
        <v>1252</v>
      </c>
      <c r="M738" s="21" t="s">
        <v>1253</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1289</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1257</v>
      </c>
      <c r="L739" s="29" t="s">
        <v>1252</v>
      </c>
      <c r="M739" s="21" t="s">
        <v>1253</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1289</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1249</v>
      </c>
      <c r="L740" s="29" t="s">
        <v>1252</v>
      </c>
      <c r="M740" s="21" t="s">
        <v>1253</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1289</v>
      </c>
      <c r="E741" s="2" t="s">
        <v>38</v>
      </c>
      <c r="F741" s="2" t="s">
        <v>182</v>
      </c>
      <c r="G741" s="2" t="s">
        <v>186</v>
      </c>
      <c r="H741" s="57" t="str">
        <f>Table1[[#This Row],[Tabela]]&amp;Table1[[#This Row],[Campo]]</f>
        <v>modesg_param_sfcs_taxon_europeiackprodmi</v>
      </c>
      <c r="I741" s="3" t="s">
        <v>613</v>
      </c>
      <c r="J741" s="55">
        <f>VLOOKUP(Table1[[#This Row],[Status]],Auxiliar!$B$16:$C$24,2,0)</f>
        <v>1</v>
      </c>
      <c r="K741" s="2" t="s">
        <v>1257</v>
      </c>
      <c r="L741" s="29" t="s">
        <v>1252</v>
      </c>
      <c r="M741" s="21" t="s">
        <v>1253</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1289</v>
      </c>
      <c r="E742" s="2" t="s">
        <v>38</v>
      </c>
      <c r="F742" s="2" t="s">
        <v>182</v>
      </c>
      <c r="G742" s="2" t="s">
        <v>186</v>
      </c>
      <c r="H742" s="57" t="str">
        <f>Table1[[#This Row],[Tabela]]&amp;Table1[[#This Row],[Campo]]</f>
        <v>modesg_param_sfcs_taxon_europeiackprodmi</v>
      </c>
      <c r="I742" s="3" t="s">
        <v>613</v>
      </c>
      <c r="J742" s="55">
        <f>VLOOKUP(Table1[[#This Row],[Status]],Auxiliar!$B$16:$C$24,2,0)</f>
        <v>1</v>
      </c>
      <c r="K742" s="2" t="s">
        <v>1249</v>
      </c>
      <c r="L742" s="29" t="s">
        <v>1252</v>
      </c>
      <c r="M742" s="21" t="s">
        <v>1253</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1289</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1257</v>
      </c>
      <c r="L743" s="29" t="s">
        <v>1252</v>
      </c>
      <c r="M743" s="21" t="s">
        <v>1253</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1289</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1249</v>
      </c>
      <c r="L744" s="29" t="s">
        <v>1252</v>
      </c>
      <c r="M744" s="21" t="s">
        <v>1253</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1289</v>
      </c>
      <c r="E745" s="2" t="s">
        <v>38</v>
      </c>
      <c r="F745" s="2" t="s">
        <v>182</v>
      </c>
      <c r="G745" s="2" t="s">
        <v>188</v>
      </c>
      <c r="H745" s="57" t="str">
        <f>Table1[[#This Row],[Tabela]]&amp;Table1[[#This Row],[Campo]]</f>
        <v>modesg_param_sfcs_taxon_europeiacnsm_co2</v>
      </c>
      <c r="I745" s="3" t="s">
        <v>613</v>
      </c>
      <c r="J745" s="55">
        <f>VLOOKUP(Table1[[#This Row],[Status]],Auxiliar!$B$16:$C$24,2,0)</f>
        <v>1</v>
      </c>
      <c r="K745" s="2" t="s">
        <v>1257</v>
      </c>
      <c r="L745" s="29" t="s">
        <v>1252</v>
      </c>
      <c r="M745" s="21" t="s">
        <v>1253</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1289</v>
      </c>
      <c r="E746" s="2" t="s">
        <v>38</v>
      </c>
      <c r="F746" s="2" t="s">
        <v>182</v>
      </c>
      <c r="G746" s="2" t="s">
        <v>188</v>
      </c>
      <c r="H746" s="57" t="str">
        <f>Table1[[#This Row],[Tabela]]&amp;Table1[[#This Row],[Campo]]</f>
        <v>modesg_param_sfcs_taxon_europeiacnsm_co2</v>
      </c>
      <c r="I746" s="3" t="s">
        <v>613</v>
      </c>
      <c r="J746" s="55">
        <f>VLOOKUP(Table1[[#This Row],[Status]],Auxiliar!$B$16:$C$24,2,0)</f>
        <v>1</v>
      </c>
      <c r="K746" s="2" t="s">
        <v>1249</v>
      </c>
      <c r="L746" s="29" t="s">
        <v>1252</v>
      </c>
      <c r="M746" s="21" t="s">
        <v>1253</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1289</v>
      </c>
      <c r="E747" s="2" t="s">
        <v>38</v>
      </c>
      <c r="F747" s="2" t="s">
        <v>182</v>
      </c>
      <c r="G747" s="2" t="s">
        <v>189</v>
      </c>
      <c r="H747" s="57" t="str">
        <f>Table1[[#This Row],[Tabela]]&amp;Table1[[#This Row],[Campo]]</f>
        <v>modesg_param_sfcs_taxon_europeiacnumecta</v>
      </c>
      <c r="I747" s="3" t="s">
        <v>613</v>
      </c>
      <c r="J747" s="55">
        <f>VLOOKUP(Table1[[#This Row],[Status]],Auxiliar!$B$16:$C$24,2,0)</f>
        <v>1</v>
      </c>
      <c r="K747" s="2" t="s">
        <v>1257</v>
      </c>
      <c r="L747" s="29" t="s">
        <v>1252</v>
      </c>
      <c r="M747" s="21" t="s">
        <v>1253</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1289</v>
      </c>
      <c r="E748" s="2" t="s">
        <v>38</v>
      </c>
      <c r="F748" s="2" t="s">
        <v>182</v>
      </c>
      <c r="G748" s="2" t="s">
        <v>189</v>
      </c>
      <c r="H748" s="57" t="str">
        <f>Table1[[#This Row],[Tabela]]&amp;Table1[[#This Row],[Campo]]</f>
        <v>modesg_param_sfcs_taxon_europeiacnumecta</v>
      </c>
      <c r="I748" s="3" t="s">
        <v>613</v>
      </c>
      <c r="J748" s="55">
        <f>VLOOKUP(Table1[[#This Row],[Status]],Auxiliar!$B$16:$C$24,2,0)</f>
        <v>1</v>
      </c>
      <c r="K748" s="2" t="s">
        <v>1249</v>
      </c>
      <c r="L748" s="29" t="s">
        <v>1252</v>
      </c>
      <c r="M748" s="21" t="s">
        <v>1253</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1289</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1257</v>
      </c>
      <c r="L749" s="29" t="s">
        <v>1252</v>
      </c>
      <c r="M749" s="21" t="s">
        <v>1253</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1289</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1249</v>
      </c>
      <c r="L750" s="29" t="s">
        <v>1252</v>
      </c>
      <c r="M750" s="21" t="s">
        <v>1253</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1289</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1257</v>
      </c>
      <c r="L751" s="29" t="s">
        <v>1244</v>
      </c>
      <c r="M751" s="21" t="s">
        <v>1253</v>
      </c>
      <c r="N751" s="48">
        <v>45611</v>
      </c>
      <c r="O751" s="21">
        <f>INDEX(Auxiliar!$D$5:$F$13,MATCH(Table1[[#This Row],[Tipologia_Testes]],Auxiliar!$B$5:$B$13,0),MATCH(Table1[[#This Row],[Complexidade]],Auxiliar!$D$4:$F$4,0))</f>
        <v>0.5</v>
      </c>
      <c r="P751" s="2" t="s">
        <v>1292</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1289</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1249</v>
      </c>
      <c r="L752" s="29" t="s">
        <v>1244</v>
      </c>
      <c r="M752" s="21" t="s">
        <v>1253</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1289</v>
      </c>
      <c r="E753" s="2" t="s">
        <v>38</v>
      </c>
      <c r="F753" s="2" t="s">
        <v>182</v>
      </c>
      <c r="G753" s="2" t="s">
        <v>192</v>
      </c>
      <c r="H753" s="57" t="str">
        <f>Table1[[#This Row],[Tabela]]&amp;Table1[[#This Row],[Campo]]</f>
        <v>modesg_param_sfcs_taxon_europeiacomite</v>
      </c>
      <c r="I753" s="2" t="s">
        <v>613</v>
      </c>
      <c r="J753" s="43">
        <f>VLOOKUP(Table1[[#This Row],[Status]],Auxiliar!$B$16:$C$24,2,0)</f>
        <v>1</v>
      </c>
      <c r="K753" s="2" t="s">
        <v>1257</v>
      </c>
      <c r="L753" s="29" t="s">
        <v>1252</v>
      </c>
      <c r="M753" s="21" t="s">
        <v>1253</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1289</v>
      </c>
      <c r="E754" s="2" t="s">
        <v>38</v>
      </c>
      <c r="F754" s="2" t="s">
        <v>182</v>
      </c>
      <c r="G754" s="2" t="s">
        <v>192</v>
      </c>
      <c r="H754" s="57" t="str">
        <f>Table1[[#This Row],[Tabela]]&amp;Table1[[#This Row],[Campo]]</f>
        <v>modesg_param_sfcs_taxon_europeiacomite</v>
      </c>
      <c r="I754" s="2" t="s">
        <v>613</v>
      </c>
      <c r="J754" s="43">
        <f>VLOOKUP(Table1[[#This Row],[Status]],Auxiliar!$B$16:$C$24,2,0)</f>
        <v>1</v>
      </c>
      <c r="K754" s="2" t="s">
        <v>1249</v>
      </c>
      <c r="L754" s="29" t="s">
        <v>1252</v>
      </c>
      <c r="M754" s="21" t="s">
        <v>1253</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1289</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1257</v>
      </c>
      <c r="L755" s="29" t="s">
        <v>1252</v>
      </c>
      <c r="M755" s="21" t="s">
        <v>1253</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1289</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1249</v>
      </c>
      <c r="L756" s="29" t="s">
        <v>1252</v>
      </c>
      <c r="M756" s="21" t="s">
        <v>1253</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1289</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1257</v>
      </c>
      <c r="L757" s="29" t="s">
        <v>1252</v>
      </c>
      <c r="M757" s="21" t="s">
        <v>1253</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1289</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1249</v>
      </c>
      <c r="L758" s="29" t="s">
        <v>1252</v>
      </c>
      <c r="M758" s="21" t="s">
        <v>1253</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1289</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1257</v>
      </c>
      <c r="L759" s="29" t="s">
        <v>1252</v>
      </c>
      <c r="M759" s="21" t="s">
        <v>1253</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1289</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1249</v>
      </c>
      <c r="L760" s="29" t="s">
        <v>1252</v>
      </c>
      <c r="M760" s="21" t="s">
        <v>1253</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1289</v>
      </c>
      <c r="E761" s="2" t="s">
        <v>38</v>
      </c>
      <c r="F761" s="2" t="s">
        <v>182</v>
      </c>
      <c r="G761" s="2" t="s">
        <v>196</v>
      </c>
      <c r="H761" s="57" t="str">
        <f>Table1[[#This Row],[Tabela]]&amp;Table1[[#This Row],[Campo]]</f>
        <v>modesg_param_sfcs_taxon_europeiadominio</v>
      </c>
      <c r="I761" s="3" t="s">
        <v>613</v>
      </c>
      <c r="J761" s="55">
        <f>VLOOKUP(Table1[[#This Row],[Status]],Auxiliar!$B$16:$C$24,2,0)</f>
        <v>1</v>
      </c>
      <c r="K761" s="2" t="s">
        <v>1257</v>
      </c>
      <c r="L761" s="29" t="s">
        <v>1252</v>
      </c>
      <c r="M761" s="21" t="s">
        <v>1253</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1289</v>
      </c>
      <c r="E762" s="2" t="s">
        <v>38</v>
      </c>
      <c r="F762" s="2" t="s">
        <v>182</v>
      </c>
      <c r="G762" s="2" t="s">
        <v>196</v>
      </c>
      <c r="H762" s="57" t="str">
        <f>Table1[[#This Row],[Tabela]]&amp;Table1[[#This Row],[Campo]]</f>
        <v>modesg_param_sfcs_taxon_europeiadominio</v>
      </c>
      <c r="I762" s="3" t="s">
        <v>613</v>
      </c>
      <c r="J762" s="55">
        <f>VLOOKUP(Table1[[#This Row],[Status]],Auxiliar!$B$16:$C$24,2,0)</f>
        <v>1</v>
      </c>
      <c r="K762" s="2" t="s">
        <v>1249</v>
      </c>
      <c r="L762" s="29" t="s">
        <v>1252</v>
      </c>
      <c r="M762" s="21" t="s">
        <v>1253</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1289</v>
      </c>
      <c r="E763" s="2" t="s">
        <v>38</v>
      </c>
      <c r="F763" s="2" t="s">
        <v>182</v>
      </c>
      <c r="G763" s="2" t="s">
        <v>197</v>
      </c>
      <c r="H763" s="57" t="str">
        <f>Table1[[#This Row],[Tabela]]&amp;Table1[[#This Row],[Campo]]</f>
        <v>modesg_param_sfcs_taxon_europeiadscrc</v>
      </c>
      <c r="I763" s="3" t="s">
        <v>613</v>
      </c>
      <c r="J763" s="55">
        <f>VLOOKUP(Table1[[#This Row],[Status]],Auxiliar!$B$16:$C$24,2,0)</f>
        <v>1</v>
      </c>
      <c r="K763" s="2" t="s">
        <v>1257</v>
      </c>
      <c r="L763" s="29" t="s">
        <v>1252</v>
      </c>
      <c r="M763" s="21" t="s">
        <v>1253</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1289</v>
      </c>
      <c r="E764" s="2" t="s">
        <v>38</v>
      </c>
      <c r="F764" s="2" t="s">
        <v>182</v>
      </c>
      <c r="G764" s="2" t="s">
        <v>197</v>
      </c>
      <c r="H764" s="57" t="str">
        <f>Table1[[#This Row],[Tabela]]&amp;Table1[[#This Row],[Campo]]</f>
        <v>modesg_param_sfcs_taxon_europeiadscrc</v>
      </c>
      <c r="I764" s="3" t="s">
        <v>613</v>
      </c>
      <c r="J764" s="55">
        <f>VLOOKUP(Table1[[#This Row],[Status]],Auxiliar!$B$16:$C$24,2,0)</f>
        <v>1</v>
      </c>
      <c r="K764" s="2" t="s">
        <v>1249</v>
      </c>
      <c r="L764" s="29" t="s">
        <v>1252</v>
      </c>
      <c r="M764" s="21" t="s">
        <v>1253</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1289</v>
      </c>
      <c r="E765" s="2" t="s">
        <v>38</v>
      </c>
      <c r="F765" s="2" t="s">
        <v>182</v>
      </c>
      <c r="G765" s="2" t="s">
        <v>198</v>
      </c>
      <c r="H765" s="57" t="str">
        <f>Table1[[#This Row],[Tabela]]&amp;Table1[[#This Row],[Campo]]</f>
        <v>modesg_param_sfcs_taxon_europeiaepc</v>
      </c>
      <c r="I765" s="3" t="s">
        <v>613</v>
      </c>
      <c r="J765" s="55">
        <f>VLOOKUP(Table1[[#This Row],[Status]],Auxiliar!$B$16:$C$24,2,0)</f>
        <v>1</v>
      </c>
      <c r="K765" s="2" t="s">
        <v>1257</v>
      </c>
      <c r="L765" s="29" t="s">
        <v>1252</v>
      </c>
      <c r="M765" s="21" t="s">
        <v>1253</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1289</v>
      </c>
      <c r="E766" s="2" t="s">
        <v>38</v>
      </c>
      <c r="F766" s="2" t="s">
        <v>182</v>
      </c>
      <c r="G766" s="2" t="s">
        <v>198</v>
      </c>
      <c r="H766" s="57" t="str">
        <f>Table1[[#This Row],[Tabela]]&amp;Table1[[#This Row],[Campo]]</f>
        <v>modesg_param_sfcs_taxon_europeiaepc</v>
      </c>
      <c r="I766" s="3" t="s">
        <v>613</v>
      </c>
      <c r="J766" s="55">
        <f>VLOOKUP(Table1[[#This Row],[Status]],Auxiliar!$B$16:$C$24,2,0)</f>
        <v>1</v>
      </c>
      <c r="K766" s="2" t="s">
        <v>1249</v>
      </c>
      <c r="L766" s="29" t="s">
        <v>1252</v>
      </c>
      <c r="M766" s="21" t="s">
        <v>1253</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1289</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1249</v>
      </c>
      <c r="L767" s="29" t="s">
        <v>650</v>
      </c>
      <c r="M767" s="21" t="s">
        <v>1253</v>
      </c>
      <c r="N767" s="48">
        <v>45611</v>
      </c>
      <c r="O767" s="21">
        <f>INDEX(Auxiliar!$D$5:$F$13,MATCH(Table1[[#This Row],[Tipologia_Testes]],Auxiliar!$B$5:$B$13,0),MATCH(Table1[[#This Row],[Complexidade]],Auxiliar!$D$4:$F$4,0))</f>
        <v>0.1</v>
      </c>
      <c r="P767" s="2" t="s">
        <v>1293</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1289</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1257</v>
      </c>
      <c r="L768" s="29" t="s">
        <v>650</v>
      </c>
      <c r="M768" s="21" t="s">
        <v>1253</v>
      </c>
      <c r="N768" s="48">
        <v>45611</v>
      </c>
      <c r="O768" s="21">
        <f>INDEX(Auxiliar!$D$5:$F$13,MATCH(Table1[[#This Row],[Tipologia_Testes]],Auxiliar!$B$5:$B$13,0),MATCH(Table1[[#This Row],[Complexidade]],Auxiliar!$D$4:$F$4,0))</f>
        <v>0.5</v>
      </c>
      <c r="P768" s="2" t="s">
        <v>1293</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1289</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1249</v>
      </c>
      <c r="L769" s="29" t="s">
        <v>650</v>
      </c>
      <c r="M769" s="21" t="s">
        <v>1254</v>
      </c>
      <c r="N769" s="48">
        <v>45611</v>
      </c>
      <c r="O769" s="21">
        <f>INDEX(Auxiliar!$D$5:$F$13,MATCH(Table1[[#This Row],[Tipologia_Testes]],Auxiliar!$B$5:$B$13,0),MATCH(Table1[[#This Row],[Complexidade]],Auxiliar!$D$4:$F$4,0))</f>
        <v>0.1</v>
      </c>
      <c r="P769" s="2" t="s">
        <v>1294</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1289</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1257</v>
      </c>
      <c r="L770" s="29" t="s">
        <v>650</v>
      </c>
      <c r="M770" s="21" t="s">
        <v>1254</v>
      </c>
      <c r="N770" s="48">
        <v>45611</v>
      </c>
      <c r="O770" s="21">
        <f>INDEX(Auxiliar!$D$5:$F$13,MATCH(Table1[[#This Row],[Tipologia_Testes]],Auxiliar!$B$5:$B$13,0),MATCH(Table1[[#This Row],[Complexidade]],Auxiliar!$D$4:$F$4,0))</f>
        <v>0.5</v>
      </c>
      <c r="P770" s="2" t="s">
        <v>1294</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1289</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1257</v>
      </c>
      <c r="L771" s="29" t="s">
        <v>650</v>
      </c>
      <c r="M771" s="21" t="s">
        <v>1253</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1289</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1249</v>
      </c>
      <c r="L772" s="29" t="s">
        <v>650</v>
      </c>
      <c r="M772" s="21" t="s">
        <v>1253</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1289</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1257</v>
      </c>
      <c r="L773" s="29" t="s">
        <v>1252</v>
      </c>
      <c r="M773" s="21" t="s">
        <v>1253</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1289</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1249</v>
      </c>
      <c r="L774" s="29" t="s">
        <v>1252</v>
      </c>
      <c r="M774" s="21" t="s">
        <v>1253</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1289</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1257</v>
      </c>
      <c r="L775" s="29" t="s">
        <v>1252</v>
      </c>
      <c r="M775" s="21" t="s">
        <v>1253</v>
      </c>
      <c r="N775" s="48">
        <v>45611</v>
      </c>
      <c r="O775" s="21">
        <f>INDEX(Auxiliar!$D$5:$F$13,MATCH(Table1[[#This Row],[Tipologia_Testes]],Auxiliar!$B$5:$B$13,0),MATCH(Table1[[#This Row],[Complexidade]],Auxiliar!$D$4:$F$4,0))</f>
        <v>0.5</v>
      </c>
      <c r="P775" s="23" t="s">
        <v>1295</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1289</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1249</v>
      </c>
      <c r="L776" s="29" t="s">
        <v>1252</v>
      </c>
      <c r="M776" s="21" t="s">
        <v>1253</v>
      </c>
      <c r="N776" s="48">
        <v>45611</v>
      </c>
      <c r="O776" s="21">
        <f>INDEX(Auxiliar!$D$5:$F$13,MATCH(Table1[[#This Row],[Tipologia_Testes]],Auxiliar!$B$5:$B$13,0),MATCH(Table1[[#This Row],[Complexidade]],Auxiliar!$D$4:$F$4,0))</f>
        <v>0.1</v>
      </c>
      <c r="P776" s="23" t="s">
        <v>1295</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1289</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1257</v>
      </c>
      <c r="L777" s="29" t="s">
        <v>1252</v>
      </c>
      <c r="M777" s="21" t="s">
        <v>1253</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1289</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1249</v>
      </c>
      <c r="L778" s="29" t="s">
        <v>1252</v>
      </c>
      <c r="M778" s="21" t="s">
        <v>1253</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1289</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1257</v>
      </c>
      <c r="L779" s="29" t="s">
        <v>1252</v>
      </c>
      <c r="M779" s="21" t="s">
        <v>1253</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1289</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1249</v>
      </c>
      <c r="L780" s="29" t="s">
        <v>1252</v>
      </c>
      <c r="M780" s="21" t="s">
        <v>1253</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1289</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1257</v>
      </c>
      <c r="L781" s="29" t="s">
        <v>1252</v>
      </c>
      <c r="M781" s="21" t="s">
        <v>1253</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1289</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1249</v>
      </c>
      <c r="L782" s="29" t="s">
        <v>1252</v>
      </c>
      <c r="M782" s="21" t="s">
        <v>1253</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1289</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1257</v>
      </c>
      <c r="L783" s="29" t="s">
        <v>1252</v>
      </c>
      <c r="M783" s="21" t="s">
        <v>1253</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1289</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1249</v>
      </c>
      <c r="L784" s="29" t="s">
        <v>1252</v>
      </c>
      <c r="M784" s="21" t="s">
        <v>1253</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1289</v>
      </c>
      <c r="E785" s="2" t="s">
        <v>38</v>
      </c>
      <c r="F785" s="2" t="s">
        <v>182</v>
      </c>
      <c r="G785" s="2" t="s">
        <v>208</v>
      </c>
      <c r="H785" s="57" t="str">
        <f>Table1[[#This Row],[Tabela]]&amp;Table1[[#This Row],[Campo]]</f>
        <v>modesg_param_sfcs_taxon_europeiaref_date</v>
      </c>
      <c r="I785" s="2" t="s">
        <v>613</v>
      </c>
      <c r="J785" s="55">
        <f>VLOOKUP(Table1[[#This Row],[Status]],Auxiliar!$B$16:$C$24,2,0)</f>
        <v>1</v>
      </c>
      <c r="K785" s="2" t="s">
        <v>1257</v>
      </c>
      <c r="L785" s="29" t="s">
        <v>1252</v>
      </c>
      <c r="M785" s="21" t="s">
        <v>1253</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1289</v>
      </c>
      <c r="E786" s="2" t="s">
        <v>38</v>
      </c>
      <c r="F786" s="2" t="s">
        <v>182</v>
      </c>
      <c r="G786" s="2" t="s">
        <v>208</v>
      </c>
      <c r="H786" s="57" t="str">
        <f>Table1[[#This Row],[Tabela]]&amp;Table1[[#This Row],[Campo]]</f>
        <v>modesg_param_sfcs_taxon_europeiaref_date</v>
      </c>
      <c r="I786" s="2" t="s">
        <v>613</v>
      </c>
      <c r="J786" s="55">
        <f>VLOOKUP(Table1[[#This Row],[Status]],Auxiliar!$B$16:$C$24,2,0)</f>
        <v>1</v>
      </c>
      <c r="K786" s="2" t="s">
        <v>1249</v>
      </c>
      <c r="L786" s="29" t="s">
        <v>1252</v>
      </c>
      <c r="M786" s="21" t="s">
        <v>1253</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1289</v>
      </c>
      <c r="E787" s="2" t="s">
        <v>38</v>
      </c>
      <c r="F787" s="2" t="s">
        <v>182</v>
      </c>
      <c r="G787" s="2" t="s">
        <v>209</v>
      </c>
      <c r="H787" s="57" t="str">
        <f>Table1[[#This Row],[Tabela]]&amp;Table1[[#This Row],[Campo]]</f>
        <v>modesg_param_sfcs_taxon_europeiazcliente</v>
      </c>
      <c r="I787" s="2" t="s">
        <v>613</v>
      </c>
      <c r="J787" s="55">
        <f>VLOOKUP(Table1[[#This Row],[Status]],Auxiliar!$B$16:$C$24,2,0)</f>
        <v>1</v>
      </c>
      <c r="K787" s="2" t="s">
        <v>1257</v>
      </c>
      <c r="L787" s="29" t="s">
        <v>1252</v>
      </c>
      <c r="M787" s="21" t="s">
        <v>1253</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1289</v>
      </c>
      <c r="E788" s="2" t="s">
        <v>38</v>
      </c>
      <c r="F788" s="2" t="s">
        <v>182</v>
      </c>
      <c r="G788" s="2" t="s">
        <v>209</v>
      </c>
      <c r="H788" s="57" t="str">
        <f>Table1[[#This Row],[Tabela]]&amp;Table1[[#This Row],[Campo]]</f>
        <v>modesg_param_sfcs_taxon_europeiazcliente</v>
      </c>
      <c r="I788" s="2" t="s">
        <v>613</v>
      </c>
      <c r="J788" s="55">
        <f>VLOOKUP(Table1[[#This Row],[Status]],Auxiliar!$B$16:$C$24,2,0)</f>
        <v>1</v>
      </c>
      <c r="K788" s="2" t="s">
        <v>1249</v>
      </c>
      <c r="L788" s="29" t="s">
        <v>1252</v>
      </c>
      <c r="M788" s="21" t="s">
        <v>1253</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1289</v>
      </c>
      <c r="E789" s="2" t="s">
        <v>38</v>
      </c>
      <c r="F789" s="2" t="s">
        <v>182</v>
      </c>
      <c r="G789" s="2" t="s">
        <v>210</v>
      </c>
      <c r="H789" s="57" t="str">
        <f>Table1[[#This Row],[Tabela]]&amp;Table1[[#This Row],[Campo]]</f>
        <v>modesg_param_sfcs_taxon_europeiazdeposit</v>
      </c>
      <c r="I789" s="2" t="s">
        <v>613</v>
      </c>
      <c r="J789" s="55">
        <f>VLOOKUP(Table1[[#This Row],[Status]],Auxiliar!$B$16:$C$24,2,0)</f>
        <v>1</v>
      </c>
      <c r="K789" s="2" t="s">
        <v>1257</v>
      </c>
      <c r="L789" s="29" t="s">
        <v>1252</v>
      </c>
      <c r="M789" s="21" t="s">
        <v>1253</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1289</v>
      </c>
      <c r="E790" s="2" t="s">
        <v>38</v>
      </c>
      <c r="F790" s="2" t="s">
        <v>182</v>
      </c>
      <c r="G790" s="2" t="s">
        <v>210</v>
      </c>
      <c r="H790" s="57" t="str">
        <f>Table1[[#This Row],[Tabela]]&amp;Table1[[#This Row],[Campo]]</f>
        <v>modesg_param_sfcs_taxon_europeiazdeposit</v>
      </c>
      <c r="I790" s="2" t="s">
        <v>613</v>
      </c>
      <c r="J790" s="55">
        <f>VLOOKUP(Table1[[#This Row],[Status]],Auxiliar!$B$16:$C$24,2,0)</f>
        <v>1</v>
      </c>
      <c r="K790" s="2" t="s">
        <v>1249</v>
      </c>
      <c r="L790" s="29" t="s">
        <v>1252</v>
      </c>
      <c r="M790" s="21" t="s">
        <v>1253</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1289</v>
      </c>
      <c r="E791" s="2" t="s">
        <v>38</v>
      </c>
      <c r="F791" s="2" t="s">
        <v>182</v>
      </c>
      <c r="G791" s="2" t="s">
        <v>211</v>
      </c>
      <c r="H791" s="57" t="str">
        <f>Table1[[#This Row],[Tabela]]&amp;Table1[[#This Row],[Campo]]</f>
        <v>modesg_param_sfcs_taxon_europeiaordem</v>
      </c>
      <c r="I791" s="2" t="s">
        <v>612</v>
      </c>
      <c r="J791" s="54">
        <f>VLOOKUP(Table1[[#This Row],[Status]],Auxiliar!$B$16:$C$24,2,0)</f>
        <v>0</v>
      </c>
      <c r="K791" s="2" t="s">
        <v>1257</v>
      </c>
      <c r="L791" s="29" t="s">
        <v>1252</v>
      </c>
      <c r="M791" s="21" t="s">
        <v>1253</v>
      </c>
      <c r="N791" s="48">
        <v>45561</v>
      </c>
      <c r="O791" s="21">
        <f>INDEX(Auxiliar!$D$5:$F$13,MATCH(Table1[[#This Row],[Tipologia_Testes]],Auxiliar!$B$5:$B$13,0),MATCH(Table1[[#This Row],[Complexidade]],Auxiliar!$D$4:$F$4,0))</f>
        <v>0.5</v>
      </c>
      <c r="P791" s="2" t="s">
        <v>1272</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1289</v>
      </c>
      <c r="E792" s="2" t="s">
        <v>38</v>
      </c>
      <c r="F792" s="2" t="s">
        <v>182</v>
      </c>
      <c r="G792" s="2" t="s">
        <v>211</v>
      </c>
      <c r="H792" s="57" t="str">
        <f>Table1[[#This Row],[Tabela]]&amp;Table1[[#This Row],[Campo]]</f>
        <v>modesg_param_sfcs_taxon_europeiaordem</v>
      </c>
      <c r="I792" s="2" t="s">
        <v>612</v>
      </c>
      <c r="J792" s="54">
        <f>VLOOKUP(Table1[[#This Row],[Status]],Auxiliar!$B$16:$C$24,2,0)</f>
        <v>0</v>
      </c>
      <c r="K792" s="2" t="s">
        <v>1249</v>
      </c>
      <c r="L792" s="29" t="s">
        <v>1252</v>
      </c>
      <c r="M792" s="21" t="s">
        <v>1253</v>
      </c>
      <c r="N792" s="48">
        <v>45561</v>
      </c>
      <c r="O792" s="21">
        <f>INDEX(Auxiliar!$D$5:$F$13,MATCH(Table1[[#This Row],[Tipologia_Testes]],Auxiliar!$B$5:$B$13,0),MATCH(Table1[[#This Row],[Complexidade]],Auxiliar!$D$4:$F$4,0))</f>
        <v>0.1</v>
      </c>
      <c r="P792" s="2" t="s">
        <v>1272</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1289</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1257</v>
      </c>
      <c r="L793" s="29" t="s">
        <v>1252</v>
      </c>
      <c r="M793" s="21" t="s">
        <v>1253</v>
      </c>
      <c r="N793" s="48">
        <v>45561</v>
      </c>
      <c r="O793" s="21">
        <f>INDEX(Auxiliar!$D$5:$F$13,MATCH(Table1[[#This Row],[Tipologia_Testes]],Auxiliar!$B$5:$B$13,0),MATCH(Table1[[#This Row],[Complexidade]],Auxiliar!$D$4:$F$4,0))</f>
        <v>0.5</v>
      </c>
      <c r="P793" s="2" t="s">
        <v>1272</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1289</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1249</v>
      </c>
      <c r="L794" s="29" t="s">
        <v>1252</v>
      </c>
      <c r="M794" s="21" t="s">
        <v>1253</v>
      </c>
      <c r="N794" s="48">
        <v>45561</v>
      </c>
      <c r="O794" s="21">
        <f>INDEX(Auxiliar!$D$5:$F$13,MATCH(Table1[[#This Row],[Tipologia_Testes]],Auxiliar!$B$5:$B$13,0),MATCH(Table1[[#This Row],[Complexidade]],Auxiliar!$D$4:$F$4,0))</f>
        <v>0.1</v>
      </c>
      <c r="P794" s="2" t="s">
        <v>1272</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1296</v>
      </c>
      <c r="E795" s="2" t="s">
        <v>38</v>
      </c>
      <c r="F795" s="13" t="s">
        <v>213</v>
      </c>
      <c r="G795" s="13" t="s">
        <v>38</v>
      </c>
      <c r="H795" s="58" t="str">
        <f>Table1[[#This Row],[Tabela]]&amp;Table1[[#This Row],[Campo]]</f>
        <v>modesg_inp_emss_vclsn.a.</v>
      </c>
      <c r="I795" s="2" t="s">
        <v>613</v>
      </c>
      <c r="J795" s="46">
        <f>VLOOKUP(Table1[[#This Row],[Status]],Auxiliar!$B$16:$C$24,2,0)</f>
        <v>1</v>
      </c>
      <c r="K795" s="21" t="s">
        <v>1243</v>
      </c>
      <c r="L795" s="253" t="s">
        <v>1252</v>
      </c>
      <c r="M795" s="21" t="s">
        <v>1253</v>
      </c>
      <c r="N795" s="48">
        <v>45546</v>
      </c>
      <c r="O795" s="21">
        <f>INDEX(Auxiliar!$D$5:$F$13,MATCH(Table1[[#This Row],[Tipologia_Testes]],Auxiliar!$B$5:$B$13,0),MATCH(Table1[[#This Row],[Complexidade]],Auxiliar!$D$4:$F$4,0))</f>
        <v>8</v>
      </c>
      <c r="P795" s="2" t="s">
        <v>1297</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1296</v>
      </c>
      <c r="E796" s="2" t="s">
        <v>38</v>
      </c>
      <c r="F796" s="13" t="s">
        <v>213</v>
      </c>
      <c r="G796" s="13" t="s">
        <v>38</v>
      </c>
      <c r="H796" s="58" t="str">
        <f>Table1[[#This Row],[Tabela]]&amp;Table1[[#This Row],[Campo]]</f>
        <v>modesg_inp_emss_vclsn.a.</v>
      </c>
      <c r="I796" s="2" t="s">
        <v>613</v>
      </c>
      <c r="J796" s="46">
        <f>VLOOKUP(Table1[[#This Row],[Status]],Auxiliar!$B$16:$C$24,2,0)</f>
        <v>1</v>
      </c>
      <c r="K796" s="21" t="s">
        <v>1290</v>
      </c>
      <c r="L796" s="253" t="s">
        <v>1252</v>
      </c>
      <c r="M796" s="21" t="s">
        <v>1253</v>
      </c>
      <c r="N796" s="48">
        <v>45546</v>
      </c>
      <c r="O796" s="21">
        <f>INDEX(Auxiliar!$D$5:$F$13,MATCH(Table1[[#This Row],[Tipologia_Testes]],Auxiliar!$B$5:$B$13,0),MATCH(Table1[[#This Row],[Complexidade]],Auxiliar!$D$4:$F$4,0))</f>
        <v>0.5</v>
      </c>
      <c r="P796" s="2" t="s">
        <v>1298</v>
      </c>
      <c r="Q796" s="2" t="s">
        <v>1299</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1296</v>
      </c>
      <c r="E797" s="2" t="s">
        <v>38</v>
      </c>
      <c r="F797" s="13" t="s">
        <v>214</v>
      </c>
      <c r="G797" s="13" t="s">
        <v>38</v>
      </c>
      <c r="H797" s="58" t="str">
        <f>Table1[[#This Row],[Tabela]]&amp;Table1[[#This Row],[Campo]]</f>
        <v>modesg_inp_km_medios_emss_vclsn.a.</v>
      </c>
      <c r="I797" s="2" t="s">
        <v>613</v>
      </c>
      <c r="J797" s="46">
        <f>VLOOKUP(Table1[[#This Row],[Status]],Auxiliar!$B$16:$C$24,2,0)</f>
        <v>1</v>
      </c>
      <c r="K797" s="21" t="s">
        <v>1243</v>
      </c>
      <c r="L797" s="22"/>
      <c r="M797" s="21" t="s">
        <v>1253</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1296</v>
      </c>
      <c r="E798" s="2" t="s">
        <v>38</v>
      </c>
      <c r="F798" s="13" t="s">
        <v>214</v>
      </c>
      <c r="G798" s="13" t="s">
        <v>38</v>
      </c>
      <c r="H798" s="58" t="str">
        <f>Table1[[#This Row],[Tabela]]&amp;Table1[[#This Row],[Campo]]</f>
        <v>modesg_inp_km_medios_emss_vclsn.a.</v>
      </c>
      <c r="I798" s="2" t="s">
        <v>613</v>
      </c>
      <c r="J798" s="46">
        <f>VLOOKUP(Table1[[#This Row],[Status]],Auxiliar!$B$16:$C$24,2,0)</f>
        <v>1</v>
      </c>
      <c r="K798" s="21" t="s">
        <v>1290</v>
      </c>
      <c r="L798" s="22"/>
      <c r="M798" s="21" t="s">
        <v>1253</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1300</v>
      </c>
      <c r="E799" s="2" t="s">
        <v>38</v>
      </c>
      <c r="F799" s="13" t="s">
        <v>215</v>
      </c>
      <c r="G799" s="13" t="s">
        <v>38</v>
      </c>
      <c r="H799" s="58" t="str">
        <f>Table1[[#This Row],[Tabela]]&amp;Table1[[#This Row],[Campo]]</f>
        <v>modesg_inp_empr_excl_parisn.a.</v>
      </c>
      <c r="I799" s="2" t="s">
        <v>613</v>
      </c>
      <c r="J799" s="46">
        <f>VLOOKUP(Table1[[#This Row],[Status]],Auxiliar!$B$16:$C$24,2,0)</f>
        <v>1</v>
      </c>
      <c r="K799" s="21" t="s">
        <v>1243</v>
      </c>
      <c r="L799" s="22"/>
      <c r="M799" s="21" t="s">
        <v>1253</v>
      </c>
      <c r="N799" s="48">
        <v>45491</v>
      </c>
      <c r="O799" s="21">
        <f>INDEX(Auxiliar!$D$5:$F$13,MATCH(Table1[[#This Row],[Tipologia_Testes]],Auxiliar!$B$5:$B$13,0),MATCH(Table1[[#This Row],[Complexidade]],Auxiliar!$D$4:$F$4,0))</f>
        <v>8</v>
      </c>
      <c r="P799" s="2" t="s">
        <v>1301</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1300</v>
      </c>
      <c r="E800" s="2" t="s">
        <v>38</v>
      </c>
      <c r="F800" s="13" t="s">
        <v>215</v>
      </c>
      <c r="G800" s="13" t="s">
        <v>38</v>
      </c>
      <c r="H800" s="58" t="str">
        <f>Table1[[#This Row],[Tabela]]&amp;Table1[[#This Row],[Campo]]</f>
        <v>modesg_inp_empr_excl_parisn.a.</v>
      </c>
      <c r="I800" s="2" t="s">
        <v>613</v>
      </c>
      <c r="J800" s="46">
        <f>VLOOKUP(Table1[[#This Row],[Status]],Auxiliar!$B$16:$C$24,2,0)</f>
        <v>1</v>
      </c>
      <c r="K800" s="21" t="s">
        <v>1290</v>
      </c>
      <c r="L800" s="22"/>
      <c r="M800" s="21" t="s">
        <v>1253</v>
      </c>
      <c r="N800" s="48">
        <v>45491</v>
      </c>
      <c r="O800" s="21">
        <f>INDEX(Auxiliar!$D$5:$F$13,MATCH(Table1[[#This Row],[Tipologia_Testes]],Auxiliar!$B$5:$B$13,0),MATCH(Table1[[#This Row],[Complexidade]],Auxiliar!$D$4:$F$4,0))</f>
        <v>0.5</v>
      </c>
      <c r="P800" s="2" t="s">
        <v>1302</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1303</v>
      </c>
      <c r="E801" s="2" t="s">
        <v>38</v>
      </c>
      <c r="F801" s="13" t="s">
        <v>216</v>
      </c>
      <c r="G801" s="13" t="s">
        <v>38</v>
      </c>
      <c r="H801" s="58" t="str">
        <f>Table1[[#This Row],[Tabela]]&amp;Table1[[#This Row],[Campo]]</f>
        <v>modesg_inp_nfrd_alinhamento_taxn.a.</v>
      </c>
      <c r="I801" s="2" t="s">
        <v>613</v>
      </c>
      <c r="J801" s="46">
        <f>VLOOKUP(Table1[[#This Row],[Status]],Auxiliar!$B$16:$C$24,2,0)</f>
        <v>1</v>
      </c>
      <c r="K801" s="21" t="s">
        <v>1243</v>
      </c>
      <c r="L801" s="22"/>
      <c r="M801" s="21" t="s">
        <v>1253</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1303</v>
      </c>
      <c r="E802" s="2" t="s">
        <v>38</v>
      </c>
      <c r="F802" s="13" t="s">
        <v>216</v>
      </c>
      <c r="G802" s="13" t="s">
        <v>38</v>
      </c>
      <c r="H802" s="58" t="str">
        <f>Table1[[#This Row],[Tabela]]&amp;Table1[[#This Row],[Campo]]</f>
        <v>modesg_inp_nfrd_alinhamento_taxn.a.</v>
      </c>
      <c r="I802" s="2" t="s">
        <v>613</v>
      </c>
      <c r="J802" s="46">
        <f>VLOOKUP(Table1[[#This Row],[Status]],Auxiliar!$B$16:$C$24,2,0)</f>
        <v>1</v>
      </c>
      <c r="K802" s="21" t="s">
        <v>1290</v>
      </c>
      <c r="L802" s="22"/>
      <c r="M802" s="21" t="s">
        <v>1253</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1304</v>
      </c>
      <c r="E803" s="2" t="s">
        <v>38</v>
      </c>
      <c r="F803" s="13" t="s">
        <v>217</v>
      </c>
      <c r="G803" s="13" t="s">
        <v>38</v>
      </c>
      <c r="H803" s="58" t="str">
        <f>Table1[[#This Row],[Tabela]]&amp;Table1[[#This Row],[Campo]]</f>
        <v>modesg_inp_risco_fisicon.a.</v>
      </c>
      <c r="I803" s="2" t="s">
        <v>613</v>
      </c>
      <c r="J803" s="46">
        <f>VLOOKUP(Table1[[#This Row],[Status]],Auxiliar!$B$16:$C$24,2,0)</f>
        <v>1</v>
      </c>
      <c r="K803" s="21" t="s">
        <v>1243</v>
      </c>
      <c r="L803" s="21" t="s">
        <v>1252</v>
      </c>
      <c r="M803" s="21" t="s">
        <v>1253</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1304</v>
      </c>
      <c r="E804" s="2" t="s">
        <v>38</v>
      </c>
      <c r="F804" s="13" t="s">
        <v>217</v>
      </c>
      <c r="G804" s="13" t="s">
        <v>38</v>
      </c>
      <c r="H804" s="58" t="str">
        <f>Table1[[#This Row],[Tabela]]&amp;Table1[[#This Row],[Campo]]</f>
        <v>modesg_inp_risco_fisicon.a.</v>
      </c>
      <c r="I804" s="2" t="s">
        <v>613</v>
      </c>
      <c r="J804" s="46">
        <f>VLOOKUP(Table1[[#This Row],[Status]],Auxiliar!$B$16:$C$24,2,0)</f>
        <v>1</v>
      </c>
      <c r="K804" s="21" t="s">
        <v>1290</v>
      </c>
      <c r="L804" s="21" t="s">
        <v>1244</v>
      </c>
      <c r="M804" s="21" t="s">
        <v>1253</v>
      </c>
      <c r="N804" s="48">
        <v>45485</v>
      </c>
      <c r="O804" s="21">
        <f>INDEX(Auxiliar!$D$5:$F$13,MATCH(Table1[[#This Row],[Tipologia_Testes]],Auxiliar!$B$5:$B$13,0),MATCH(Table1[[#This Row],[Complexidade]],Auxiliar!$D$4:$F$4,0))</f>
        <v>0.5</v>
      </c>
      <c r="P804" s="2" t="s">
        <v>1302</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1296</v>
      </c>
      <c r="E805" s="2" t="s">
        <v>38</v>
      </c>
      <c r="F805" s="13" t="s">
        <v>218</v>
      </c>
      <c r="G805" s="13" t="s">
        <v>38</v>
      </c>
      <c r="H805" s="58" t="str">
        <f>Table1[[#This Row],[Tabela]]&amp;Table1[[#This Row],[Campo]]</f>
        <v>modesg_inp_emss_scibn.a.</v>
      </c>
      <c r="I805" s="2" t="s">
        <v>613</v>
      </c>
      <c r="J805" s="46">
        <f>VLOOKUP(Table1[[#This Row],[Status]],Auxiliar!$B$16:$C$24,2,0)</f>
        <v>1</v>
      </c>
      <c r="K805" s="21" t="s">
        <v>1243</v>
      </c>
      <c r="L805" s="21" t="s">
        <v>1252</v>
      </c>
      <c r="M805" s="21" t="s">
        <v>1253</v>
      </c>
      <c r="N805" s="48">
        <v>45490</v>
      </c>
      <c r="O805" s="21">
        <f>INDEX(Auxiliar!$D$5:$F$13,MATCH(Table1[[#This Row],[Tipologia_Testes]],Auxiliar!$B$5:$B$13,0),MATCH(Table1[[#This Row],[Complexidade]],Auxiliar!$D$4:$F$4,0))</f>
        <v>8</v>
      </c>
      <c r="P805" s="2"/>
      <c r="Q805" s="2" t="s">
        <v>1299</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1296</v>
      </c>
      <c r="E806" s="2" t="s">
        <v>38</v>
      </c>
      <c r="F806" s="13" t="s">
        <v>218</v>
      </c>
      <c r="G806" s="13" t="s">
        <v>38</v>
      </c>
      <c r="H806" s="58" t="str">
        <f>Table1[[#This Row],[Tabela]]&amp;Table1[[#This Row],[Campo]]</f>
        <v>modesg_inp_emss_scibn.a.</v>
      </c>
      <c r="I806" s="2" t="s">
        <v>613</v>
      </c>
      <c r="J806" s="46">
        <f>VLOOKUP(Table1[[#This Row],[Status]],Auxiliar!$B$16:$C$24,2,0)</f>
        <v>1</v>
      </c>
      <c r="K806" s="21" t="s">
        <v>1290</v>
      </c>
      <c r="L806" s="21" t="s">
        <v>1244</v>
      </c>
      <c r="M806" s="21" t="s">
        <v>1253</v>
      </c>
      <c r="N806" s="48">
        <v>45490</v>
      </c>
      <c r="O806" s="21">
        <f>INDEX(Auxiliar!$D$5:$F$13,MATCH(Table1[[#This Row],[Tipologia_Testes]],Auxiliar!$B$5:$B$13,0),MATCH(Table1[[#This Row],[Complexidade]],Auxiliar!$D$4:$F$4,0))</f>
        <v>0.5</v>
      </c>
      <c r="P806" s="2"/>
      <c r="Q806" s="2" t="s">
        <v>1299</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1296</v>
      </c>
      <c r="E807" s="2" t="s">
        <v>38</v>
      </c>
      <c r="F807" s="13" t="s">
        <v>219</v>
      </c>
      <c r="G807" s="13" t="s">
        <v>38</v>
      </c>
      <c r="H807" s="58" t="str">
        <f>Table1[[#This Row],[Tabela]]&amp;Table1[[#This Row],[Campo]]</f>
        <v>modesg_inp_emss_nacen.a.</v>
      </c>
      <c r="I807" s="2" t="s">
        <v>613</v>
      </c>
      <c r="J807" s="46">
        <f>VLOOKUP(Table1[[#This Row],[Status]],Auxiliar!$B$16:$C$24,2,0)</f>
        <v>1</v>
      </c>
      <c r="K807" s="21" t="s">
        <v>1243</v>
      </c>
      <c r="L807" s="21" t="s">
        <v>1252</v>
      </c>
      <c r="M807" s="21" t="s">
        <v>1253</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1296</v>
      </c>
      <c r="E808" s="2" t="s">
        <v>38</v>
      </c>
      <c r="F808" s="13" t="s">
        <v>219</v>
      </c>
      <c r="G808" s="13" t="s">
        <v>38</v>
      </c>
      <c r="H808" s="58" t="str">
        <f>Table1[[#This Row],[Tabela]]&amp;Table1[[#This Row],[Campo]]</f>
        <v>modesg_inp_emss_nacen.a.</v>
      </c>
      <c r="I808" s="2" t="s">
        <v>613</v>
      </c>
      <c r="J808" s="46">
        <f>VLOOKUP(Table1[[#This Row],[Status]],Auxiliar!$B$16:$C$24,2,0)</f>
        <v>1</v>
      </c>
      <c r="K808" s="21" t="s">
        <v>1290</v>
      </c>
      <c r="L808" s="21" t="s">
        <v>1244</v>
      </c>
      <c r="M808" s="21" t="s">
        <v>1253</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1296</v>
      </c>
      <c r="E809" s="2" t="s">
        <v>38</v>
      </c>
      <c r="F809" s="13" t="s">
        <v>220</v>
      </c>
      <c r="G809" s="13" t="s">
        <v>38</v>
      </c>
      <c r="H809" s="58" t="str">
        <f>Table1[[#This Row],[Tabela]]&amp;Table1[[#This Row],[Campo]]</f>
        <v>modesg_inp_emss_bens_imoveisn.a.</v>
      </c>
      <c r="I809" s="2" t="s">
        <v>613</v>
      </c>
      <c r="J809" s="46">
        <f>VLOOKUP(Table1[[#This Row],[Status]],Auxiliar!$B$16:$C$24,2,0)</f>
        <v>1</v>
      </c>
      <c r="K809" s="21" t="s">
        <v>1243</v>
      </c>
      <c r="L809" s="21" t="s">
        <v>1252</v>
      </c>
      <c r="M809" s="21" t="s">
        <v>1253</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1296</v>
      </c>
      <c r="E810" s="2" t="s">
        <v>38</v>
      </c>
      <c r="F810" s="13" t="s">
        <v>220</v>
      </c>
      <c r="G810" s="13" t="s">
        <v>38</v>
      </c>
      <c r="H810" s="58" t="str">
        <f>Table1[[#This Row],[Tabela]]&amp;Table1[[#This Row],[Campo]]</f>
        <v>modesg_inp_emss_bens_imoveisn.a.</v>
      </c>
      <c r="I810" s="2" t="s">
        <v>613</v>
      </c>
      <c r="J810" s="46">
        <f>VLOOKUP(Table1[[#This Row],[Status]],Auxiliar!$B$16:$C$24,2,0)</f>
        <v>1</v>
      </c>
      <c r="K810" s="21" t="s">
        <v>1290</v>
      </c>
      <c r="L810" s="21" t="s">
        <v>1244</v>
      </c>
      <c r="M810" s="21" t="s">
        <v>1253</v>
      </c>
      <c r="N810" s="48">
        <v>45546</v>
      </c>
      <c r="O810" s="21">
        <f>INDEX(Auxiliar!$D$5:$F$13,MATCH(Table1[[#This Row],[Tipologia_Testes]],Auxiliar!$B$5:$B$13,0),MATCH(Table1[[#This Row],[Complexidade]],Auxiliar!$D$4:$F$4,0))</f>
        <v>0.5</v>
      </c>
      <c r="P810" s="2" t="s">
        <v>1305</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1296</v>
      </c>
      <c r="E811" s="2" t="s">
        <v>38</v>
      </c>
      <c r="F811" s="13" t="s">
        <v>213</v>
      </c>
      <c r="G811" s="13" t="s">
        <v>208</v>
      </c>
      <c r="H811" s="58" t="str">
        <f>Table1[[#This Row],[Tabela]]&amp;Table1[[#This Row],[Campo]]</f>
        <v>modesg_inp_emss_vclsref_date</v>
      </c>
      <c r="I811" s="2" t="s">
        <v>613</v>
      </c>
      <c r="J811" s="46">
        <f>VLOOKUP(Table1[[#This Row],[Status]],Auxiliar!$B$16:$C$24,2,0)</f>
        <v>1</v>
      </c>
      <c r="K811" s="21" t="s">
        <v>1257</v>
      </c>
      <c r="L811" s="21" t="s">
        <v>1252</v>
      </c>
      <c r="M811" s="21" t="s">
        <v>1254</v>
      </c>
      <c r="N811" s="48">
        <v>45546</v>
      </c>
      <c r="O811" s="21">
        <f>INDEX(Auxiliar!$D$5:$F$13,MATCH(Table1[[#This Row],[Tipologia_Testes]],Auxiliar!$B$5:$B$13,0),MATCH(Table1[[#This Row],[Complexidade]],Auxiliar!$D$4:$F$4,0))</f>
        <v>0.5</v>
      </c>
      <c r="P811" s="2" t="s">
        <v>1306</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1296</v>
      </c>
      <c r="E812" s="2" t="s">
        <v>38</v>
      </c>
      <c r="F812" s="13" t="s">
        <v>213</v>
      </c>
      <c r="G812" s="13" t="s">
        <v>221</v>
      </c>
      <c r="H812" s="58" t="str">
        <f>Table1[[#This Row],[Tabela]]&amp;Table1[[#This Row],[Campo]]</f>
        <v>modesg_inp_emss_vclsnome_regiao</v>
      </c>
      <c r="I812" s="2" t="s">
        <v>613</v>
      </c>
      <c r="J812" s="46">
        <f>VLOOKUP(Table1[[#This Row],[Status]],Auxiliar!$B$16:$C$24,2,0)</f>
        <v>1</v>
      </c>
      <c r="K812" s="21" t="s">
        <v>1249</v>
      </c>
      <c r="L812" s="21" t="s">
        <v>1244</v>
      </c>
      <c r="M812" s="21" t="s">
        <v>1254</v>
      </c>
      <c r="N812" s="48">
        <v>45546</v>
      </c>
      <c r="O812" s="21">
        <f>INDEX(Auxiliar!$D$5:$F$13,MATCH(Table1[[#This Row],[Tipologia_Testes]],Auxiliar!$B$5:$B$13,0),MATCH(Table1[[#This Row],[Complexidade]],Auxiliar!$D$4:$F$4,0))</f>
        <v>0.1</v>
      </c>
      <c r="P812" s="2" t="s">
        <v>1307</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1296</v>
      </c>
      <c r="E813" s="2" t="s">
        <v>38</v>
      </c>
      <c r="F813" s="13" t="s">
        <v>213</v>
      </c>
      <c r="G813" s="13" t="s">
        <v>221</v>
      </c>
      <c r="H813" s="58" t="str">
        <f>Table1[[#This Row],[Tabela]]&amp;Table1[[#This Row],[Campo]]</f>
        <v>modesg_inp_emss_vclsnome_regiao</v>
      </c>
      <c r="I813" s="2" t="s">
        <v>613</v>
      </c>
      <c r="J813" s="46">
        <f>VLOOKUP(Table1[[#This Row],[Status]],Auxiliar!$B$16:$C$24,2,0)</f>
        <v>1</v>
      </c>
      <c r="K813" s="21" t="s">
        <v>1257</v>
      </c>
      <c r="L813" s="21" t="s">
        <v>1244</v>
      </c>
      <c r="M813" s="21" t="s">
        <v>1254</v>
      </c>
      <c r="N813" s="48">
        <v>45546</v>
      </c>
      <c r="O813" s="21">
        <f>INDEX(Auxiliar!$D$5:$F$13,MATCH(Table1[[#This Row],[Tipologia_Testes]],Auxiliar!$B$5:$B$13,0),MATCH(Table1[[#This Row],[Complexidade]],Auxiliar!$D$4:$F$4,0))</f>
        <v>0.5</v>
      </c>
      <c r="P813" s="23" t="s">
        <v>1308</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1296</v>
      </c>
      <c r="E814" s="2" t="s">
        <v>38</v>
      </c>
      <c r="F814" s="13" t="s">
        <v>213</v>
      </c>
      <c r="G814" s="13" t="s">
        <v>222</v>
      </c>
      <c r="H814" s="58" t="str">
        <f>Table1[[#This Row],[Tabela]]&amp;Table1[[#This Row],[Campo]]</f>
        <v>modesg_inp_emss_vclsnome_pais</v>
      </c>
      <c r="I814" s="2" t="s">
        <v>613</v>
      </c>
      <c r="J814" s="46">
        <f>VLOOKUP(Table1[[#This Row],[Status]],Auxiliar!$B$16:$C$24,2,0)</f>
        <v>1</v>
      </c>
      <c r="K814" s="21" t="s">
        <v>1249</v>
      </c>
      <c r="L814" s="2" t="s">
        <v>1244</v>
      </c>
      <c r="M814" s="21" t="s">
        <v>1254</v>
      </c>
      <c r="N814" s="48">
        <v>45546</v>
      </c>
      <c r="O814" s="21">
        <f>INDEX(Auxiliar!$D$5:$F$13,MATCH(Table1[[#This Row],[Tipologia_Testes]],Auxiliar!$B$5:$B$13,0),MATCH(Table1[[#This Row],[Complexidade]],Auxiliar!$D$4:$F$4,0))</f>
        <v>0.1</v>
      </c>
      <c r="P814" s="2" t="s">
        <v>1307</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1296</v>
      </c>
      <c r="E815" s="2" t="s">
        <v>38</v>
      </c>
      <c r="F815" s="13" t="s">
        <v>213</v>
      </c>
      <c r="G815" s="13" t="s">
        <v>222</v>
      </c>
      <c r="H815" s="58" t="str">
        <f>Table1[[#This Row],[Tabela]]&amp;Table1[[#This Row],[Campo]]</f>
        <v>modesg_inp_emss_vclsnome_pais</v>
      </c>
      <c r="I815" s="2" t="s">
        <v>613</v>
      </c>
      <c r="J815" s="46">
        <f>VLOOKUP(Table1[[#This Row],[Status]],Auxiliar!$B$16:$C$24,2,0)</f>
        <v>1</v>
      </c>
      <c r="K815" s="21" t="s">
        <v>1257</v>
      </c>
      <c r="L815" s="2" t="s">
        <v>1244</v>
      </c>
      <c r="M815" s="21" t="s">
        <v>1254</v>
      </c>
      <c r="N815" s="48">
        <v>45546</v>
      </c>
      <c r="O815" s="21">
        <f>INDEX(Auxiliar!$D$5:$F$13,MATCH(Table1[[#This Row],[Tipologia_Testes]],Auxiliar!$B$5:$B$13,0),MATCH(Table1[[#This Row],[Complexidade]],Auxiliar!$D$4:$F$4,0))</f>
        <v>0.5</v>
      </c>
      <c r="P815" s="23" t="s">
        <v>1308</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1296</v>
      </c>
      <c r="E816" s="2" t="s">
        <v>38</v>
      </c>
      <c r="F816" s="13" t="s">
        <v>213</v>
      </c>
      <c r="G816" s="13" t="s">
        <v>223</v>
      </c>
      <c r="H816" s="58" t="str">
        <f>Table1[[#This Row],[Tabela]]&amp;Table1[[#This Row],[Campo]]</f>
        <v>modesg_inp_emss_vclsnome_estado</v>
      </c>
      <c r="I816" s="2" t="s">
        <v>613</v>
      </c>
      <c r="J816" s="46">
        <f>VLOOKUP(Table1[[#This Row],[Status]],Auxiliar!$B$16:$C$24,2,0)</f>
        <v>1</v>
      </c>
      <c r="K816" s="21" t="s">
        <v>1257</v>
      </c>
      <c r="L816" s="21" t="s">
        <v>1252</v>
      </c>
      <c r="M816" s="21" t="s">
        <v>1254</v>
      </c>
      <c r="N816" s="48">
        <v>45546</v>
      </c>
      <c r="O816" s="21">
        <f>INDEX(Auxiliar!$D$5:$F$13,MATCH(Table1[[#This Row],[Tipologia_Testes]],Auxiliar!$B$5:$B$13,0),MATCH(Table1[[#This Row],[Complexidade]],Auxiliar!$D$4:$F$4,0))</f>
        <v>0.5</v>
      </c>
      <c r="P816" s="2" t="s">
        <v>1306</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1296</v>
      </c>
      <c r="E817" s="2" t="s">
        <v>38</v>
      </c>
      <c r="F817" s="13" t="s">
        <v>213</v>
      </c>
      <c r="G817" s="13" t="s">
        <v>224</v>
      </c>
      <c r="H817" s="58" t="str">
        <f>Table1[[#This Row],[Tabela]]&amp;Table1[[#This Row],[Campo]]</f>
        <v>modesg_inp_emss_vclstipo_veiculo</v>
      </c>
      <c r="I817" s="2" t="s">
        <v>613</v>
      </c>
      <c r="J817" s="46">
        <f>VLOOKUP(Table1[[#This Row],[Status]],Auxiliar!$B$16:$C$24,2,0)</f>
        <v>1</v>
      </c>
      <c r="K817" s="21" t="s">
        <v>1249</v>
      </c>
      <c r="L817" s="21" t="s">
        <v>1252</v>
      </c>
      <c r="M817" s="21" t="s">
        <v>1254</v>
      </c>
      <c r="N817" s="48">
        <v>45546</v>
      </c>
      <c r="O817" s="21">
        <f>INDEX(Auxiliar!$D$5:$F$13,MATCH(Table1[[#This Row],[Tipologia_Testes]],Auxiliar!$B$5:$B$13,0),MATCH(Table1[[#This Row],[Complexidade]],Auxiliar!$D$4:$F$4,0))</f>
        <v>0.1</v>
      </c>
      <c r="P817" s="2" t="s">
        <v>1307</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1296</v>
      </c>
      <c r="E818" s="2" t="s">
        <v>38</v>
      </c>
      <c r="F818" s="13" t="s">
        <v>213</v>
      </c>
      <c r="G818" s="13" t="s">
        <v>224</v>
      </c>
      <c r="H818" s="58" t="str">
        <f>Table1[[#This Row],[Tabela]]&amp;Table1[[#This Row],[Campo]]</f>
        <v>modesg_inp_emss_vclstipo_veiculo</v>
      </c>
      <c r="I818" s="2" t="s">
        <v>613</v>
      </c>
      <c r="J818" s="46">
        <f>VLOOKUP(Table1[[#This Row],[Status]],Auxiliar!$B$16:$C$24,2,0)</f>
        <v>1</v>
      </c>
      <c r="K818" s="21" t="s">
        <v>1257</v>
      </c>
      <c r="L818" s="21" t="s">
        <v>1252</v>
      </c>
      <c r="M818" s="21" t="s">
        <v>1254</v>
      </c>
      <c r="N818" s="48">
        <v>45546</v>
      </c>
      <c r="O818" s="21">
        <f>INDEX(Auxiliar!$D$5:$F$13,MATCH(Table1[[#This Row],[Tipologia_Testes]],Auxiliar!$B$5:$B$13,0),MATCH(Table1[[#This Row],[Complexidade]],Auxiliar!$D$4:$F$4,0))</f>
        <v>0.5</v>
      </c>
      <c r="P818" s="2" t="s">
        <v>1306</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1296</v>
      </c>
      <c r="E819" s="2" t="s">
        <v>38</v>
      </c>
      <c r="F819" s="13" t="s">
        <v>213</v>
      </c>
      <c r="G819" s="13" t="s">
        <v>225</v>
      </c>
      <c r="H819" s="58" t="str">
        <f>Table1[[#This Row],[Tabela]]&amp;Table1[[#This Row],[Campo]]</f>
        <v>modesg_inp_emss_vclstipo_motor</v>
      </c>
      <c r="I819" s="2" t="s">
        <v>613</v>
      </c>
      <c r="J819" s="46">
        <f>VLOOKUP(Table1[[#This Row],[Status]],Auxiliar!$B$16:$C$24,2,0)</f>
        <v>1</v>
      </c>
      <c r="K819" s="21" t="s">
        <v>1249</v>
      </c>
      <c r="L819" s="21" t="s">
        <v>1252</v>
      </c>
      <c r="M819" s="21" t="s">
        <v>1254</v>
      </c>
      <c r="N819" s="48">
        <v>45546</v>
      </c>
      <c r="O819" s="21">
        <f>INDEX(Auxiliar!$D$5:$F$13,MATCH(Table1[[#This Row],[Tipologia_Testes]],Auxiliar!$B$5:$B$13,0),MATCH(Table1[[#This Row],[Complexidade]],Auxiliar!$D$4:$F$4,0))</f>
        <v>0.1</v>
      </c>
      <c r="P819" s="2" t="s">
        <v>1307</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1296</v>
      </c>
      <c r="E820" s="2" t="s">
        <v>38</v>
      </c>
      <c r="F820" s="13" t="s">
        <v>213</v>
      </c>
      <c r="G820" s="13" t="s">
        <v>225</v>
      </c>
      <c r="H820" s="58" t="str">
        <f>Table1[[#This Row],[Tabela]]&amp;Table1[[#This Row],[Campo]]</f>
        <v>modesg_inp_emss_vclstipo_motor</v>
      </c>
      <c r="I820" s="2" t="s">
        <v>613</v>
      </c>
      <c r="J820" s="46">
        <f>VLOOKUP(Table1[[#This Row],[Status]],Auxiliar!$B$16:$C$24,2,0)</f>
        <v>1</v>
      </c>
      <c r="K820" s="21" t="s">
        <v>1257</v>
      </c>
      <c r="L820" s="21" t="s">
        <v>1252</v>
      </c>
      <c r="M820" s="21" t="s">
        <v>1254</v>
      </c>
      <c r="N820" s="48">
        <v>45546</v>
      </c>
      <c r="O820" s="21">
        <f>INDEX(Auxiliar!$D$5:$F$13,MATCH(Table1[[#This Row],[Tipologia_Testes]],Auxiliar!$B$5:$B$13,0),MATCH(Table1[[#This Row],[Complexidade]],Auxiliar!$D$4:$F$4,0))</f>
        <v>0.5</v>
      </c>
      <c r="P820" s="2" t="s">
        <v>1306</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1296</v>
      </c>
      <c r="E821" s="2" t="s">
        <v>38</v>
      </c>
      <c r="F821" s="13" t="s">
        <v>213</v>
      </c>
      <c r="G821" s="13" t="s">
        <v>226</v>
      </c>
      <c r="H821" s="58" t="str">
        <f>Table1[[#This Row],[Tabela]]&amp;Table1[[#This Row],[Campo]]</f>
        <v>modesg_inp_emss_vclsmarca</v>
      </c>
      <c r="I821" s="2" t="s">
        <v>613</v>
      </c>
      <c r="J821" s="46">
        <f>VLOOKUP(Table1[[#This Row],[Status]],Auxiliar!$B$16:$C$24,2,0)</f>
        <v>1</v>
      </c>
      <c r="K821" s="21" t="s">
        <v>1249</v>
      </c>
      <c r="L821" s="2" t="s">
        <v>1244</v>
      </c>
      <c r="M821" s="21" t="s">
        <v>1254</v>
      </c>
      <c r="N821" s="48">
        <v>45546</v>
      </c>
      <c r="O821" s="21">
        <f>INDEX(Auxiliar!$D$5:$F$13,MATCH(Table1[[#This Row],[Tipologia_Testes]],Auxiliar!$B$5:$B$13,0),MATCH(Table1[[#This Row],[Complexidade]],Auxiliar!$D$4:$F$4,0))</f>
        <v>0.1</v>
      </c>
      <c r="P821" s="2" t="s">
        <v>1307</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1296</v>
      </c>
      <c r="E822" s="2" t="s">
        <v>38</v>
      </c>
      <c r="F822" s="13" t="s">
        <v>213</v>
      </c>
      <c r="G822" s="13" t="s">
        <v>226</v>
      </c>
      <c r="H822" s="58" t="str">
        <f>Table1[[#This Row],[Tabela]]&amp;Table1[[#This Row],[Campo]]</f>
        <v>modesg_inp_emss_vclsmarca</v>
      </c>
      <c r="I822" s="2" t="s">
        <v>613</v>
      </c>
      <c r="J822" s="46">
        <f>VLOOKUP(Table1[[#This Row],[Status]],Auxiliar!$B$16:$C$24,2,0)</f>
        <v>1</v>
      </c>
      <c r="K822" s="21" t="s">
        <v>1257</v>
      </c>
      <c r="L822" s="2" t="s">
        <v>1244</v>
      </c>
      <c r="M822" s="21" t="s">
        <v>1254</v>
      </c>
      <c r="N822" s="48">
        <v>45546</v>
      </c>
      <c r="O822" s="21">
        <f>INDEX(Auxiliar!$D$5:$F$13,MATCH(Table1[[#This Row],[Tipologia_Testes]],Auxiliar!$B$5:$B$13,0),MATCH(Table1[[#This Row],[Complexidade]],Auxiliar!$D$4:$F$4,0))</f>
        <v>0.5</v>
      </c>
      <c r="P822" s="23" t="s">
        <v>1308</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1296</v>
      </c>
      <c r="E823" s="2" t="s">
        <v>38</v>
      </c>
      <c r="F823" s="13" t="s">
        <v>213</v>
      </c>
      <c r="G823" s="13" t="s">
        <v>227</v>
      </c>
      <c r="H823" s="58" t="str">
        <f>Table1[[#This Row],[Tabela]]&amp;Table1[[#This Row],[Campo]]</f>
        <v>modesg_inp_emss_vclsmodelo</v>
      </c>
      <c r="I823" s="2" t="s">
        <v>613</v>
      </c>
      <c r="J823" s="46">
        <f>VLOOKUP(Table1[[#This Row],[Status]],Auxiliar!$B$16:$C$24,2,0)</f>
        <v>1</v>
      </c>
      <c r="K823" s="21" t="s">
        <v>1249</v>
      </c>
      <c r="L823" s="2" t="s">
        <v>1244</v>
      </c>
      <c r="M823" s="21" t="s">
        <v>1254</v>
      </c>
      <c r="N823" s="48">
        <v>45546</v>
      </c>
      <c r="O823" s="21">
        <f>INDEX(Auxiliar!$D$5:$F$13,MATCH(Table1[[#This Row],[Tipologia_Testes]],Auxiliar!$B$5:$B$13,0),MATCH(Table1[[#This Row],[Complexidade]],Auxiliar!$D$4:$F$4,0))</f>
        <v>0.1</v>
      </c>
      <c r="P823" s="2" t="s">
        <v>1307</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1296</v>
      </c>
      <c r="E824" s="2" t="s">
        <v>38</v>
      </c>
      <c r="F824" s="13" t="s">
        <v>213</v>
      </c>
      <c r="G824" s="13" t="s">
        <v>227</v>
      </c>
      <c r="H824" s="58" t="str">
        <f>Table1[[#This Row],[Tabela]]&amp;Table1[[#This Row],[Campo]]</f>
        <v>modesg_inp_emss_vclsmodelo</v>
      </c>
      <c r="I824" s="2" t="s">
        <v>613</v>
      </c>
      <c r="J824" s="46">
        <f>VLOOKUP(Table1[[#This Row],[Status]],Auxiliar!$B$16:$C$24,2,0)</f>
        <v>1</v>
      </c>
      <c r="K824" s="21" t="s">
        <v>1257</v>
      </c>
      <c r="L824" s="2" t="s">
        <v>1244</v>
      </c>
      <c r="M824" s="21" t="s">
        <v>1254</v>
      </c>
      <c r="N824" s="48">
        <v>45546</v>
      </c>
      <c r="O824" s="21">
        <f>INDEX(Auxiliar!$D$5:$F$13,MATCH(Table1[[#This Row],[Tipologia_Testes]],Auxiliar!$B$5:$B$13,0),MATCH(Table1[[#This Row],[Complexidade]],Auxiliar!$D$4:$F$4,0))</f>
        <v>0.5</v>
      </c>
      <c r="P824" s="23" t="s">
        <v>1308</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1296</v>
      </c>
      <c r="E825" s="2" t="s">
        <v>38</v>
      </c>
      <c r="F825" s="13" t="s">
        <v>213</v>
      </c>
      <c r="G825" s="13" t="s">
        <v>228</v>
      </c>
      <c r="H825" s="58" t="str">
        <f>Table1[[#This Row],[Tabela]]&amp;Table1[[#This Row],[Campo]]</f>
        <v>modesg_inp_emss_vclssubgrupo</v>
      </c>
      <c r="I825" s="2" t="s">
        <v>613</v>
      </c>
      <c r="J825" s="46">
        <f>VLOOKUP(Table1[[#This Row],[Status]],Auxiliar!$B$16:$C$24,2,0)</f>
        <v>1</v>
      </c>
      <c r="K825" s="21" t="s">
        <v>1249</v>
      </c>
      <c r="L825" s="2" t="s">
        <v>650</v>
      </c>
      <c r="M825" s="21" t="s">
        <v>1254</v>
      </c>
      <c r="N825" s="48">
        <v>45546</v>
      </c>
      <c r="O825" s="21">
        <f>INDEX(Auxiliar!$D$5:$F$13,MATCH(Table1[[#This Row],[Tipologia_Testes]],Auxiliar!$B$5:$B$13,0),MATCH(Table1[[#This Row],[Complexidade]],Auxiliar!$D$4:$F$4,0))</f>
        <v>0.1</v>
      </c>
      <c r="P825" s="2" t="s">
        <v>1307</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1296</v>
      </c>
      <c r="E826" s="2" t="s">
        <v>38</v>
      </c>
      <c r="F826" s="13" t="s">
        <v>213</v>
      </c>
      <c r="G826" s="13" t="s">
        <v>228</v>
      </c>
      <c r="H826" s="58" t="str">
        <f>Table1[[#This Row],[Tabela]]&amp;Table1[[#This Row],[Campo]]</f>
        <v>modesg_inp_emss_vclssubgrupo</v>
      </c>
      <c r="I826" s="2" t="s">
        <v>613</v>
      </c>
      <c r="J826" s="46">
        <f>VLOOKUP(Table1[[#This Row],[Status]],Auxiliar!$B$16:$C$24,2,0)</f>
        <v>1</v>
      </c>
      <c r="K826" s="21" t="s">
        <v>1257</v>
      </c>
      <c r="L826" s="2" t="s">
        <v>650</v>
      </c>
      <c r="M826" s="21" t="s">
        <v>1254</v>
      </c>
      <c r="N826" s="48">
        <v>45546</v>
      </c>
      <c r="O826" s="21">
        <f>INDEX(Auxiliar!$D$5:$F$13,MATCH(Table1[[#This Row],[Tipologia_Testes]],Auxiliar!$B$5:$B$13,0),MATCH(Table1[[#This Row],[Complexidade]],Auxiliar!$D$4:$F$4,0))</f>
        <v>0.5</v>
      </c>
      <c r="P826" s="2" t="s">
        <v>1306</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1296</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1249</v>
      </c>
      <c r="L827" s="21" t="s">
        <v>1252</v>
      </c>
      <c r="M827" s="21" t="s">
        <v>1254</v>
      </c>
      <c r="N827" s="48">
        <v>45546</v>
      </c>
      <c r="O827" s="21">
        <f>INDEX(Auxiliar!$D$5:$F$13,MATCH(Table1[[#This Row],[Tipologia_Testes]],Auxiliar!$B$5:$B$13,0),MATCH(Table1[[#This Row],[Complexidade]],Auxiliar!$D$4:$F$4,0))</f>
        <v>0.1</v>
      </c>
      <c r="P827" s="2" t="s">
        <v>1307</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1296</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1257</v>
      </c>
      <c r="L828" s="21" t="s">
        <v>1252</v>
      </c>
      <c r="M828" s="21" t="s">
        <v>1254</v>
      </c>
      <c r="N828" s="48">
        <v>45546</v>
      </c>
      <c r="O828" s="21">
        <f>INDEX(Auxiliar!$D$5:$F$13,MATCH(Table1[[#This Row],[Tipologia_Testes]],Auxiliar!$B$5:$B$13,0),MATCH(Table1[[#This Row],[Complexidade]],Auxiliar!$D$4:$F$4,0))</f>
        <v>0.5</v>
      </c>
      <c r="P828" s="2" t="s">
        <v>1306</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1296</v>
      </c>
      <c r="E829" s="2" t="s">
        <v>38</v>
      </c>
      <c r="F829" s="13" t="s">
        <v>213</v>
      </c>
      <c r="G829" s="13" t="s">
        <v>230</v>
      </c>
      <c r="H829" s="58" t="str">
        <f>Table1[[#This Row],[Tabela]]&amp;Table1[[#This Row],[Campo]]</f>
        <v>modesg_inp_emss_vclsunidade_funcional</v>
      </c>
      <c r="I829" s="2" t="s">
        <v>613</v>
      </c>
      <c r="J829" s="46">
        <f>VLOOKUP(Table1[[#This Row],[Status]],Auxiliar!$B$16:$C$24,2,0)</f>
        <v>1</v>
      </c>
      <c r="K829" s="21" t="s">
        <v>1249</v>
      </c>
      <c r="L829" s="21" t="s">
        <v>1252</v>
      </c>
      <c r="M829" s="21" t="s">
        <v>1254</v>
      </c>
      <c r="N829" s="48">
        <v>45546</v>
      </c>
      <c r="O829" s="21">
        <f>INDEX(Auxiliar!$D$5:$F$13,MATCH(Table1[[#This Row],[Tipologia_Testes]],Auxiliar!$B$5:$B$13,0),MATCH(Table1[[#This Row],[Complexidade]],Auxiliar!$D$4:$F$4,0))</f>
        <v>0.1</v>
      </c>
      <c r="P829" s="2" t="s">
        <v>1307</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1296</v>
      </c>
      <c r="E830" s="2" t="s">
        <v>38</v>
      </c>
      <c r="F830" s="13" t="s">
        <v>213</v>
      </c>
      <c r="G830" s="13" t="s">
        <v>230</v>
      </c>
      <c r="H830" s="58" t="str">
        <f>Table1[[#This Row],[Tabela]]&amp;Table1[[#This Row],[Campo]]</f>
        <v>modesg_inp_emss_vclsunidade_funcional</v>
      </c>
      <c r="I830" s="2" t="s">
        <v>613</v>
      </c>
      <c r="J830" s="46">
        <f>VLOOKUP(Table1[[#This Row],[Status]],Auxiliar!$B$16:$C$24,2,0)</f>
        <v>1</v>
      </c>
      <c r="K830" s="21" t="s">
        <v>1257</v>
      </c>
      <c r="L830" s="21" t="s">
        <v>1252</v>
      </c>
      <c r="M830" s="21" t="s">
        <v>1254</v>
      </c>
      <c r="N830" s="48">
        <v>45546</v>
      </c>
      <c r="O830" s="21">
        <f>INDEX(Auxiliar!$D$5:$F$13,MATCH(Table1[[#This Row],[Tipologia_Testes]],Auxiliar!$B$5:$B$13,0),MATCH(Table1[[#This Row],[Complexidade]],Auxiliar!$D$4:$F$4,0))</f>
        <v>0.5</v>
      </c>
      <c r="P830" s="2" t="s">
        <v>1306</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1296</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1249</v>
      </c>
      <c r="L831" s="21" t="s">
        <v>1252</v>
      </c>
      <c r="M831" s="21" t="s">
        <v>1254</v>
      </c>
      <c r="N831" s="48">
        <v>45546</v>
      </c>
      <c r="O831" s="21">
        <f>INDEX(Auxiliar!$D$5:$F$13,MATCH(Table1[[#This Row],[Tipologia_Testes]],Auxiliar!$B$5:$B$13,0),MATCH(Table1[[#This Row],[Complexidade]],Auxiliar!$D$4:$F$4,0))</f>
        <v>0.1</v>
      </c>
      <c r="P831" s="2" t="s">
        <v>1307</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1296</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1257</v>
      </c>
      <c r="L832" s="21" t="s">
        <v>1252</v>
      </c>
      <c r="M832" s="21" t="s">
        <v>1254</v>
      </c>
      <c r="N832" s="48">
        <v>45546</v>
      </c>
      <c r="O832" s="21">
        <f>INDEX(Auxiliar!$D$5:$F$13,MATCH(Table1[[#This Row],[Tipologia_Testes]],Auxiliar!$B$5:$B$13,0),MATCH(Table1[[#This Row],[Complexidade]],Auxiliar!$D$4:$F$4,0))</f>
        <v>0.5</v>
      </c>
      <c r="P832" s="2" t="s">
        <v>1306</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1296</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1249</v>
      </c>
      <c r="L833" s="21" t="s">
        <v>1252</v>
      </c>
      <c r="M833" s="21" t="s">
        <v>1254</v>
      </c>
      <c r="N833" s="48">
        <v>45546</v>
      </c>
      <c r="O833" s="21">
        <f>INDEX(Auxiliar!$D$5:$F$13,MATCH(Table1[[#This Row],[Tipologia_Testes]],Auxiliar!$B$5:$B$13,0),MATCH(Table1[[#This Row],[Complexidade]],Auxiliar!$D$4:$F$4,0))</f>
        <v>0.1</v>
      </c>
      <c r="P833" s="2" t="s">
        <v>1307</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1296</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1257</v>
      </c>
      <c r="L834" s="21" t="s">
        <v>1252</v>
      </c>
      <c r="M834" s="21" t="s">
        <v>1254</v>
      </c>
      <c r="N834" s="48">
        <v>45546</v>
      </c>
      <c r="O834" s="21">
        <f>INDEX(Auxiliar!$D$5:$F$13,MATCH(Table1[[#This Row],[Tipologia_Testes]],Auxiliar!$B$5:$B$13,0),MATCH(Table1[[#This Row],[Complexidade]],Auxiliar!$D$4:$F$4,0))</f>
        <v>0.5</v>
      </c>
      <c r="P834" s="2" t="s">
        <v>1306</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1296</v>
      </c>
      <c r="E835" s="2" t="s">
        <v>38</v>
      </c>
      <c r="F835" s="13" t="s">
        <v>213</v>
      </c>
      <c r="G835" s="13" t="s">
        <v>233</v>
      </c>
      <c r="H835" s="58" t="str">
        <f>Table1[[#This Row],[Tabela]]&amp;Table1[[#This Row],[Campo]]</f>
        <v>modesg_inp_emss_vclsscore_qualidade</v>
      </c>
      <c r="I835" s="2" t="s">
        <v>613</v>
      </c>
      <c r="J835" s="46">
        <f>VLOOKUP(Table1[[#This Row],[Status]],Auxiliar!$B$16:$C$24,2,0)</f>
        <v>1</v>
      </c>
      <c r="K835" s="21" t="s">
        <v>1249</v>
      </c>
      <c r="L835" s="2" t="s">
        <v>1244</v>
      </c>
      <c r="M835" s="21" t="s">
        <v>1254</v>
      </c>
      <c r="N835" s="48">
        <v>45546</v>
      </c>
      <c r="O835" s="21">
        <f>INDEX(Auxiliar!$D$5:$F$13,MATCH(Table1[[#This Row],[Tipologia_Testes]],Auxiliar!$B$5:$B$13,0),MATCH(Table1[[#This Row],[Complexidade]],Auxiliar!$D$4:$F$4,0))</f>
        <v>0.1</v>
      </c>
      <c r="P835" s="2" t="s">
        <v>1307</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1296</v>
      </c>
      <c r="E836" s="2" t="s">
        <v>38</v>
      </c>
      <c r="F836" s="13" t="s">
        <v>213</v>
      </c>
      <c r="G836" s="13" t="s">
        <v>233</v>
      </c>
      <c r="H836" s="58" t="str">
        <f>Table1[[#This Row],[Tabela]]&amp;Table1[[#This Row],[Campo]]</f>
        <v>modesg_inp_emss_vclsscore_qualidade</v>
      </c>
      <c r="I836" s="2" t="s">
        <v>613</v>
      </c>
      <c r="J836" s="46">
        <f>VLOOKUP(Table1[[#This Row],[Status]],Auxiliar!$B$16:$C$24,2,0)</f>
        <v>1</v>
      </c>
      <c r="K836" s="21" t="s">
        <v>1257</v>
      </c>
      <c r="L836" s="2" t="s">
        <v>1244</v>
      </c>
      <c r="M836" s="21" t="s">
        <v>1254</v>
      </c>
      <c r="N836" s="48">
        <v>45546</v>
      </c>
      <c r="O836" s="21">
        <f>INDEX(Auxiliar!$D$5:$F$13,MATCH(Table1[[#This Row],[Tipologia_Testes]],Auxiliar!$B$5:$B$13,0),MATCH(Table1[[#This Row],[Complexidade]],Auxiliar!$D$4:$F$4,0))</f>
        <v>0.5</v>
      </c>
      <c r="P836" s="23" t="s">
        <v>1308</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1296</v>
      </c>
      <c r="E837" s="2" t="s">
        <v>38</v>
      </c>
      <c r="F837" s="13" t="s">
        <v>213</v>
      </c>
      <c r="G837" s="13" t="s">
        <v>234</v>
      </c>
      <c r="H837" s="58" t="str">
        <f>Table1[[#This Row],[Tabela]]&amp;Table1[[#This Row],[Campo]]</f>
        <v>modesg_inp_emss_vclsscp1_ftr_emss</v>
      </c>
      <c r="I837" s="2" t="s">
        <v>613</v>
      </c>
      <c r="J837" s="46">
        <f>VLOOKUP(Table1[[#This Row],[Status]],Auxiliar!$B$16:$C$24,2,0)</f>
        <v>1</v>
      </c>
      <c r="K837" s="21" t="s">
        <v>1249</v>
      </c>
      <c r="L837" s="2" t="s">
        <v>1244</v>
      </c>
      <c r="M837" s="21" t="s">
        <v>1254</v>
      </c>
      <c r="N837" s="48">
        <v>45546</v>
      </c>
      <c r="O837" s="21">
        <f>INDEX(Auxiliar!$D$5:$F$13,MATCH(Table1[[#This Row],[Tipologia_Testes]],Auxiliar!$B$5:$B$13,0),MATCH(Table1[[#This Row],[Complexidade]],Auxiliar!$D$4:$F$4,0))</f>
        <v>0.1</v>
      </c>
      <c r="P837" s="2" t="s">
        <v>1309</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1296</v>
      </c>
      <c r="E838" s="2" t="s">
        <v>38</v>
      </c>
      <c r="F838" s="13" t="s">
        <v>213</v>
      </c>
      <c r="G838" s="13" t="s">
        <v>234</v>
      </c>
      <c r="H838" s="58" t="str">
        <f>Table1[[#This Row],[Tabela]]&amp;Table1[[#This Row],[Campo]]</f>
        <v>modesg_inp_emss_vclsscp1_ftr_emss</v>
      </c>
      <c r="I838" s="2" t="s">
        <v>613</v>
      </c>
      <c r="J838" s="46">
        <f>VLOOKUP(Table1[[#This Row],[Status]],Auxiliar!$B$16:$C$24,2,0)</f>
        <v>1</v>
      </c>
      <c r="K838" s="21" t="s">
        <v>1257</v>
      </c>
      <c r="L838" s="2" t="s">
        <v>1244</v>
      </c>
      <c r="M838" s="21" t="s">
        <v>1254</v>
      </c>
      <c r="N838" s="48">
        <v>45546</v>
      </c>
      <c r="O838" s="21">
        <f>INDEX(Auxiliar!$D$5:$F$13,MATCH(Table1[[#This Row],[Tipologia_Testes]],Auxiliar!$B$5:$B$13,0),MATCH(Table1[[#This Row],[Complexidade]],Auxiliar!$D$4:$F$4,0))</f>
        <v>0.5</v>
      </c>
      <c r="P838" s="23" t="s">
        <v>1308</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1296</v>
      </c>
      <c r="E839" s="2" t="s">
        <v>38</v>
      </c>
      <c r="F839" s="13" t="s">
        <v>213</v>
      </c>
      <c r="G839" s="13" t="s">
        <v>235</v>
      </c>
      <c r="H839" s="58" t="str">
        <f>Table1[[#This Row],[Tabela]]&amp;Table1[[#This Row],[Campo]]</f>
        <v>modesg_inp_emss_vclsscp2_ftr_emss</v>
      </c>
      <c r="I839" s="2" t="s">
        <v>613</v>
      </c>
      <c r="J839" s="46">
        <f>VLOOKUP(Table1[[#This Row],[Status]],Auxiliar!$B$16:$C$24,2,0)</f>
        <v>1</v>
      </c>
      <c r="K839" s="21" t="s">
        <v>1249</v>
      </c>
      <c r="L839" s="2" t="s">
        <v>1244</v>
      </c>
      <c r="M839" s="21" t="s">
        <v>1254</v>
      </c>
      <c r="N839" s="48">
        <v>45546</v>
      </c>
      <c r="O839" s="21">
        <f>INDEX(Auxiliar!$D$5:$F$13,MATCH(Table1[[#This Row],[Tipologia_Testes]],Auxiliar!$B$5:$B$13,0),MATCH(Table1[[#This Row],[Complexidade]],Auxiliar!$D$4:$F$4,0))</f>
        <v>0.1</v>
      </c>
      <c r="P839" s="2" t="s">
        <v>1309</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1296</v>
      </c>
      <c r="E840" s="2" t="s">
        <v>38</v>
      </c>
      <c r="F840" s="13" t="s">
        <v>213</v>
      </c>
      <c r="G840" s="13" t="s">
        <v>235</v>
      </c>
      <c r="H840" s="58" t="str">
        <f>Table1[[#This Row],[Tabela]]&amp;Table1[[#This Row],[Campo]]</f>
        <v>modesg_inp_emss_vclsscp2_ftr_emss</v>
      </c>
      <c r="I840" s="2" t="s">
        <v>613</v>
      </c>
      <c r="J840" s="46">
        <f>VLOOKUP(Table1[[#This Row],[Status]],Auxiliar!$B$16:$C$24,2,0)</f>
        <v>1</v>
      </c>
      <c r="K840" s="21" t="s">
        <v>1257</v>
      </c>
      <c r="L840" s="2" t="s">
        <v>1244</v>
      </c>
      <c r="M840" s="21" t="s">
        <v>1254</v>
      </c>
      <c r="N840" s="48">
        <v>45546</v>
      </c>
      <c r="O840" s="21">
        <f>INDEX(Auxiliar!$D$5:$F$13,MATCH(Table1[[#This Row],[Tipologia_Testes]],Auxiliar!$B$5:$B$13,0),MATCH(Table1[[#This Row],[Complexidade]],Auxiliar!$D$4:$F$4,0))</f>
        <v>0.5</v>
      </c>
      <c r="P840" s="23" t="s">
        <v>1308</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1296</v>
      </c>
      <c r="E841" s="2" t="s">
        <v>38</v>
      </c>
      <c r="F841" s="13" t="s">
        <v>213</v>
      </c>
      <c r="G841" s="13" t="s">
        <v>236</v>
      </c>
      <c r="H841" s="58" t="str">
        <f>Table1[[#This Row],[Tabela]]&amp;Table1[[#This Row],[Campo]]</f>
        <v>modesg_inp_emss_vclsscp3_ftr_emss</v>
      </c>
      <c r="I841" s="2" t="s">
        <v>613</v>
      </c>
      <c r="J841" s="46">
        <f>VLOOKUP(Table1[[#This Row],[Status]],Auxiliar!$B$16:$C$24,2,0)</f>
        <v>1</v>
      </c>
      <c r="K841" s="21" t="s">
        <v>1249</v>
      </c>
      <c r="L841" s="2" t="s">
        <v>1244</v>
      </c>
      <c r="M841" s="21" t="s">
        <v>1254</v>
      </c>
      <c r="N841" s="48">
        <v>45546</v>
      </c>
      <c r="O841" s="21">
        <f>INDEX(Auxiliar!$D$5:$F$13,MATCH(Table1[[#This Row],[Tipologia_Testes]],Auxiliar!$B$5:$B$13,0),MATCH(Table1[[#This Row],[Complexidade]],Auxiliar!$D$4:$F$4,0))</f>
        <v>0.1</v>
      </c>
      <c r="P841" s="2" t="s">
        <v>1310</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1296</v>
      </c>
      <c r="E842" s="2" t="s">
        <v>38</v>
      </c>
      <c r="F842" s="13" t="s">
        <v>213</v>
      </c>
      <c r="G842" s="13" t="s">
        <v>236</v>
      </c>
      <c r="H842" s="58" t="str">
        <f>Table1[[#This Row],[Tabela]]&amp;Table1[[#This Row],[Campo]]</f>
        <v>modesg_inp_emss_vclsscp3_ftr_emss</v>
      </c>
      <c r="I842" s="2" t="s">
        <v>613</v>
      </c>
      <c r="J842" s="46">
        <f>VLOOKUP(Table1[[#This Row],[Status]],Auxiliar!$B$16:$C$24,2,0)</f>
        <v>1</v>
      </c>
      <c r="K842" s="21" t="s">
        <v>1257</v>
      </c>
      <c r="L842" s="2" t="s">
        <v>1244</v>
      </c>
      <c r="M842" s="21" t="s">
        <v>1254</v>
      </c>
      <c r="N842" s="48">
        <v>45546</v>
      </c>
      <c r="O842" s="21">
        <f>INDEX(Auxiliar!$D$5:$F$13,MATCH(Table1[[#This Row],[Tipologia_Testes]],Auxiliar!$B$5:$B$13,0),MATCH(Table1[[#This Row],[Complexidade]],Auxiliar!$D$4:$F$4,0))</f>
        <v>0.5</v>
      </c>
      <c r="P842" s="23" t="s">
        <v>1311</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1296</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1257</v>
      </c>
      <c r="L843" s="28"/>
      <c r="M843" s="21" t="s">
        <v>1254</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1296</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1249</v>
      </c>
      <c r="L844" s="28"/>
      <c r="M844" s="21" t="s">
        <v>1254</v>
      </c>
      <c r="N844" s="48">
        <v>45537</v>
      </c>
      <c r="O844" s="21">
        <f>INDEX(Auxiliar!$D$5:$F$13,MATCH(Table1[[#This Row],[Tipologia_Testes]],Auxiliar!$B$5:$B$13,0),MATCH(Table1[[#This Row],[Complexidade]],Auxiliar!$D$4:$F$4,0))</f>
        <v>0.1</v>
      </c>
      <c r="P844" s="2" t="s">
        <v>1312</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1296</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1257</v>
      </c>
      <c r="L845" s="28"/>
      <c r="M845" s="21" t="s">
        <v>1254</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1296</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1249</v>
      </c>
      <c r="L846" s="2" t="s">
        <v>1244</v>
      </c>
      <c r="M846" s="21" t="s">
        <v>1254</v>
      </c>
      <c r="N846" s="48">
        <v>45537</v>
      </c>
      <c r="O846" s="21">
        <f>INDEX(Auxiliar!$D$5:$F$13,MATCH(Table1[[#This Row],[Tipologia_Testes]],Auxiliar!$B$5:$B$13,0),MATCH(Table1[[#This Row],[Complexidade]],Auxiliar!$D$4:$F$4,0))</f>
        <v>0.1</v>
      </c>
      <c r="P846" s="2" t="s">
        <v>1313</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1296</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1257</v>
      </c>
      <c r="L847" s="2" t="s">
        <v>1244</v>
      </c>
      <c r="M847" s="21" t="s">
        <v>1254</v>
      </c>
      <c r="N847" s="48">
        <v>45537</v>
      </c>
      <c r="O847" s="21">
        <f>INDEX(Auxiliar!$D$5:$F$13,MATCH(Table1[[#This Row],[Tipologia_Testes]],Auxiliar!$B$5:$B$13,0),MATCH(Table1[[#This Row],[Complexidade]],Auxiliar!$D$4:$F$4,0))</f>
        <v>0.5</v>
      </c>
      <c r="P847" s="2" t="s">
        <v>1314</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1296</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1249</v>
      </c>
      <c r="L848" s="28"/>
      <c r="M848" s="21" t="s">
        <v>1254</v>
      </c>
      <c r="N848" s="48">
        <v>45537</v>
      </c>
      <c r="O848" s="21">
        <f>INDEX(Auxiliar!$D$5:$F$13,MATCH(Table1[[#This Row],[Tipologia_Testes]],Auxiliar!$B$5:$B$13,0),MATCH(Table1[[#This Row],[Complexidade]],Auxiliar!$D$4:$F$4,0))</f>
        <v>0.1</v>
      </c>
      <c r="P848" s="2" t="s">
        <v>1312</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1296</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1257</v>
      </c>
      <c r="L849" s="28"/>
      <c r="M849" s="21" t="s">
        <v>1254</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1296</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1249</v>
      </c>
      <c r="L850" s="2" t="s">
        <v>650</v>
      </c>
      <c r="M850" s="21" t="s">
        <v>1254</v>
      </c>
      <c r="N850" s="48">
        <v>45537</v>
      </c>
      <c r="O850" s="21">
        <f>INDEX(Auxiliar!$D$5:$F$13,MATCH(Table1[[#This Row],[Tipologia_Testes]],Auxiliar!$B$5:$B$13,0),MATCH(Table1[[#This Row],[Complexidade]],Auxiliar!$D$4:$F$4,0))</f>
        <v>0.1</v>
      </c>
      <c r="P850" s="2" t="s">
        <v>1312</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1296</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1257</v>
      </c>
      <c r="L851" s="2" t="s">
        <v>650</v>
      </c>
      <c r="M851" s="21" t="s">
        <v>1254</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1296</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1249</v>
      </c>
      <c r="L852" s="28"/>
      <c r="M852" s="21" t="s">
        <v>1254</v>
      </c>
      <c r="N852" s="48">
        <v>45537</v>
      </c>
      <c r="O852" s="21">
        <f>INDEX(Auxiliar!$D$5:$F$13,MATCH(Table1[[#This Row],[Tipologia_Testes]],Auxiliar!$B$5:$B$13,0),MATCH(Table1[[#This Row],[Complexidade]],Auxiliar!$D$4:$F$4,0))</f>
        <v>0.1</v>
      </c>
      <c r="P852" s="2" t="s">
        <v>1312</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1296</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1257</v>
      </c>
      <c r="L853" s="28"/>
      <c r="M853" s="21" t="s">
        <v>1254</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1300</v>
      </c>
      <c r="E854" s="2" t="s">
        <v>38</v>
      </c>
      <c r="F854" s="13" t="s">
        <v>215</v>
      </c>
      <c r="G854" s="13" t="s">
        <v>208</v>
      </c>
      <c r="H854" s="58" t="str">
        <f>Table1[[#This Row],[Tabela]]&amp;Table1[[#This Row],[Campo]]</f>
        <v>modesg_inp_empr_excl_parisref_date</v>
      </c>
      <c r="I854" s="3" t="s">
        <v>613</v>
      </c>
      <c r="J854" s="54">
        <f>VLOOKUP(Table1[[#This Row],[Status]],Auxiliar!$B$16:$C$24,2,0)</f>
        <v>1</v>
      </c>
      <c r="K854" s="21" t="s">
        <v>1257</v>
      </c>
      <c r="L854" s="2" t="s">
        <v>1252</v>
      </c>
      <c r="M854" s="21" t="s">
        <v>1254</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1315</v>
      </c>
    </row>
    <row r="855" spans="2:24" ht="17.7" hidden="1" customHeight="1">
      <c r="B855" s="13" t="s">
        <v>26</v>
      </c>
      <c r="C855" s="13" t="s">
        <v>181</v>
      </c>
      <c r="D855" s="13" t="s">
        <v>1300</v>
      </c>
      <c r="E855" s="2" t="s">
        <v>38</v>
      </c>
      <c r="F855" s="13" t="s">
        <v>215</v>
      </c>
      <c r="G855" s="13" t="s">
        <v>239</v>
      </c>
      <c r="H855" s="58" t="str">
        <f>Table1[[#This Row],[Tabela]]&amp;Table1[[#This Row],[Campo]]</f>
        <v>modesg_inp_empr_excl_parisisin</v>
      </c>
      <c r="I855" s="3" t="s">
        <v>613</v>
      </c>
      <c r="J855" s="54">
        <f>VLOOKUP(Table1[[#This Row],[Status]],Auxiliar!$B$16:$C$24,2,0)</f>
        <v>1</v>
      </c>
      <c r="K855" s="21" t="s">
        <v>1249</v>
      </c>
      <c r="L855" s="2" t="s">
        <v>1252</v>
      </c>
      <c r="M855" s="21" t="s">
        <v>1254</v>
      </c>
      <c r="N855" s="48">
        <v>45485</v>
      </c>
      <c r="O855" s="21">
        <f>INDEX(Auxiliar!$D$5:$F$13,MATCH(Table1[[#This Row],[Tipologia_Testes]],Auxiliar!$B$5:$B$13,0),MATCH(Table1[[#This Row],[Complexidade]],Auxiliar!$D$4:$F$4,0))</f>
        <v>0.1</v>
      </c>
      <c r="P855" s="2" t="s">
        <v>1316</v>
      </c>
      <c r="Q855" s="2"/>
      <c r="R855" s="152">
        <v>45261</v>
      </c>
      <c r="S855" s="152"/>
      <c r="T855" s="152"/>
      <c r="U855" s="152">
        <v>45603</v>
      </c>
      <c r="V855" s="152"/>
      <c r="W855" s="2">
        <f>VLOOKUP(Table1[[#This Row],[Status]],Auxiliar!$B$16:$D$24,3,0)*Table1[[#This Row],[Estimação (horas)]]</f>
        <v>0.1</v>
      </c>
      <c r="X855" s="2" t="s">
        <v>1315</v>
      </c>
    </row>
    <row r="856" spans="2:24" ht="17.7" hidden="1" customHeight="1">
      <c r="B856" s="13" t="s">
        <v>26</v>
      </c>
      <c r="C856" s="13" t="s">
        <v>181</v>
      </c>
      <c r="D856" s="13" t="s">
        <v>1300</v>
      </c>
      <c r="E856" s="2" t="s">
        <v>38</v>
      </c>
      <c r="F856" s="13" t="s">
        <v>215</v>
      </c>
      <c r="G856" s="13" t="s">
        <v>239</v>
      </c>
      <c r="H856" s="58" t="str">
        <f>Table1[[#This Row],[Tabela]]&amp;Table1[[#This Row],[Campo]]</f>
        <v>modesg_inp_empr_excl_parisisin</v>
      </c>
      <c r="I856" s="3" t="s">
        <v>613</v>
      </c>
      <c r="J856" s="54">
        <f>VLOOKUP(Table1[[#This Row],[Status]],Auxiliar!$B$16:$C$24,2,0)</f>
        <v>1</v>
      </c>
      <c r="K856" s="21" t="s">
        <v>1257</v>
      </c>
      <c r="L856" s="2" t="s">
        <v>1244</v>
      </c>
      <c r="M856" s="21" t="s">
        <v>1254</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1315</v>
      </c>
    </row>
    <row r="857" spans="2:24" ht="17.7" hidden="1" customHeight="1">
      <c r="B857" s="13" t="s">
        <v>26</v>
      </c>
      <c r="C857" s="13" t="s">
        <v>181</v>
      </c>
      <c r="D857" s="13" t="s">
        <v>1300</v>
      </c>
      <c r="E857" s="2" t="s">
        <v>38</v>
      </c>
      <c r="F857" s="13" t="s">
        <v>215</v>
      </c>
      <c r="G857" s="13" t="s">
        <v>240</v>
      </c>
      <c r="H857" s="58" t="str">
        <f>Table1[[#This Row],[Tabela]]&amp;Table1[[#This Row],[Campo]]</f>
        <v>modesg_inp_empr_excl_parisclei</v>
      </c>
      <c r="I857" s="3" t="s">
        <v>613</v>
      </c>
      <c r="J857" s="54">
        <f>VLOOKUP(Table1[[#This Row],[Status]],Auxiliar!$B$16:$C$24,2,0)</f>
        <v>1</v>
      </c>
      <c r="K857" s="21" t="s">
        <v>1249</v>
      </c>
      <c r="L857" s="2" t="s">
        <v>1252</v>
      </c>
      <c r="M857" s="21" t="s">
        <v>1254</v>
      </c>
      <c r="N857" s="48">
        <v>45485</v>
      </c>
      <c r="O857" s="21">
        <f>INDEX(Auxiliar!$D$5:$F$13,MATCH(Table1[[#This Row],[Tipologia_Testes]],Auxiliar!$B$5:$B$13,0),MATCH(Table1[[#This Row],[Complexidade]],Auxiliar!$D$4:$F$4,0))</f>
        <v>0.1</v>
      </c>
      <c r="P857" s="2" t="s">
        <v>1316</v>
      </c>
      <c r="Q857" s="2"/>
      <c r="R857" s="152">
        <v>45261</v>
      </c>
      <c r="S857" s="152"/>
      <c r="T857" s="152"/>
      <c r="U857" s="152">
        <v>45603</v>
      </c>
      <c r="V857" s="152"/>
      <c r="W857" s="2">
        <f>VLOOKUP(Table1[[#This Row],[Status]],Auxiliar!$B$16:$D$24,3,0)*Table1[[#This Row],[Estimação (horas)]]</f>
        <v>0.1</v>
      </c>
      <c r="X857" s="2" t="s">
        <v>1315</v>
      </c>
    </row>
    <row r="858" spans="2:24" ht="17.7" hidden="1" customHeight="1">
      <c r="B858" s="13" t="s">
        <v>26</v>
      </c>
      <c r="C858" s="13" t="s">
        <v>181</v>
      </c>
      <c r="D858" s="13" t="s">
        <v>1300</v>
      </c>
      <c r="E858" s="2" t="s">
        <v>38</v>
      </c>
      <c r="F858" s="13" t="s">
        <v>215</v>
      </c>
      <c r="G858" s="13" t="s">
        <v>240</v>
      </c>
      <c r="H858" s="58" t="str">
        <f>Table1[[#This Row],[Tabela]]&amp;Table1[[#This Row],[Campo]]</f>
        <v>modesg_inp_empr_excl_parisclei</v>
      </c>
      <c r="I858" s="3" t="s">
        <v>613</v>
      </c>
      <c r="J858" s="54">
        <f>VLOOKUP(Table1[[#This Row],[Status]],Auxiliar!$B$16:$C$24,2,0)</f>
        <v>1</v>
      </c>
      <c r="K858" s="21" t="s">
        <v>1257</v>
      </c>
      <c r="L858" s="2" t="s">
        <v>1252</v>
      </c>
      <c r="M858" s="21" t="s">
        <v>1254</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1315</v>
      </c>
    </row>
    <row r="859" spans="2:24" ht="17.7" hidden="1" customHeight="1">
      <c r="B859" s="13" t="s">
        <v>26</v>
      </c>
      <c r="C859" s="13" t="s">
        <v>181</v>
      </c>
      <c r="D859" s="13" t="s">
        <v>1300</v>
      </c>
      <c r="E859" s="2" t="s">
        <v>38</v>
      </c>
      <c r="F859" s="13" t="s">
        <v>215</v>
      </c>
      <c r="G859" s="13" t="s">
        <v>241</v>
      </c>
      <c r="H859" s="58" t="str">
        <f>Table1[[#This Row],[Tabela]]&amp;Table1[[#This Row],[Campo]]</f>
        <v>modesg_inp_empr_excl_parisccli_kgl</v>
      </c>
      <c r="I859" s="3" t="s">
        <v>613</v>
      </c>
      <c r="J859" s="54">
        <f>VLOOKUP(Table1[[#This Row],[Status]],Auxiliar!$B$16:$C$24,2,0)</f>
        <v>1</v>
      </c>
      <c r="K859" s="21" t="s">
        <v>1249</v>
      </c>
      <c r="L859" s="2" t="s">
        <v>1252</v>
      </c>
      <c r="M859" s="21" t="s">
        <v>1254</v>
      </c>
      <c r="N859" s="48">
        <v>45485</v>
      </c>
      <c r="O859" s="21">
        <f>INDEX(Auxiliar!$D$5:$F$13,MATCH(Table1[[#This Row],[Tipologia_Testes]],Auxiliar!$B$5:$B$13,0),MATCH(Table1[[#This Row],[Complexidade]],Auxiliar!$D$4:$F$4,0))</f>
        <v>0.1</v>
      </c>
      <c r="P859" s="2" t="s">
        <v>1316</v>
      </c>
      <c r="Q859" s="2"/>
      <c r="R859" s="152">
        <v>45261</v>
      </c>
      <c r="S859" s="152"/>
      <c r="T859" s="152"/>
      <c r="U859" s="152">
        <v>45603</v>
      </c>
      <c r="V859" s="152"/>
      <c r="W859" s="2">
        <f>VLOOKUP(Table1[[#This Row],[Status]],Auxiliar!$B$16:$D$24,3,0)*Table1[[#This Row],[Estimação (horas)]]</f>
        <v>0.1</v>
      </c>
      <c r="X859" s="2" t="s">
        <v>1315</v>
      </c>
    </row>
    <row r="860" spans="2:24" ht="17.7" hidden="1" customHeight="1">
      <c r="B860" s="13" t="s">
        <v>26</v>
      </c>
      <c r="C860" s="13" t="s">
        <v>181</v>
      </c>
      <c r="D860" s="13" t="s">
        <v>1300</v>
      </c>
      <c r="E860" s="2" t="s">
        <v>38</v>
      </c>
      <c r="F860" s="13" t="s">
        <v>215</v>
      </c>
      <c r="G860" s="13" t="s">
        <v>241</v>
      </c>
      <c r="H860" s="58" t="str">
        <f>Table1[[#This Row],[Tabela]]&amp;Table1[[#This Row],[Campo]]</f>
        <v>modesg_inp_empr_excl_parisccli_kgl</v>
      </c>
      <c r="I860" s="3" t="s">
        <v>613</v>
      </c>
      <c r="J860" s="54">
        <f>VLOOKUP(Table1[[#This Row],[Status]],Auxiliar!$B$16:$C$24,2,0)</f>
        <v>1</v>
      </c>
      <c r="K860" s="21" t="s">
        <v>1257</v>
      </c>
      <c r="L860" s="2" t="s">
        <v>1252</v>
      </c>
      <c r="M860" s="21" t="s">
        <v>1254</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1315</v>
      </c>
    </row>
    <row r="861" spans="2:24" ht="17.7" hidden="1" customHeight="1">
      <c r="B861" s="13" t="s">
        <v>26</v>
      </c>
      <c r="C861" s="13" t="s">
        <v>181</v>
      </c>
      <c r="D861" s="13" t="s">
        <v>1300</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1257</v>
      </c>
      <c r="L861" s="2" t="s">
        <v>1252</v>
      </c>
      <c r="M861" s="21" t="s">
        <v>1254</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1315</v>
      </c>
    </row>
    <row r="862" spans="2:24" ht="17.7" hidden="1" customHeight="1">
      <c r="B862" s="13" t="s">
        <v>26</v>
      </c>
      <c r="C862" s="13" t="s">
        <v>181</v>
      </c>
      <c r="D862" s="13" t="s">
        <v>1300</v>
      </c>
      <c r="E862" s="2" t="s">
        <v>38</v>
      </c>
      <c r="F862" s="13" t="s">
        <v>215</v>
      </c>
      <c r="G862" s="13" t="s">
        <v>243</v>
      </c>
      <c r="H862" s="58" t="str">
        <f>Table1[[#This Row],[Tabela]]&amp;Table1[[#This Row],[Campo]]</f>
        <v>modesg_inp_empr_excl_parisflg_scib</v>
      </c>
      <c r="I862" s="3" t="s">
        <v>613</v>
      </c>
      <c r="J862" s="54">
        <f>VLOOKUP(Table1[[#This Row],[Status]],Auxiliar!$B$16:$C$24,2,0)</f>
        <v>1</v>
      </c>
      <c r="K862" s="21" t="s">
        <v>1257</v>
      </c>
      <c r="L862" s="2" t="s">
        <v>1252</v>
      </c>
      <c r="M862" s="21" t="s">
        <v>1254</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1315</v>
      </c>
    </row>
    <row r="863" spans="2:24" ht="17.7" hidden="1" customHeight="1">
      <c r="B863" s="13" t="s">
        <v>26</v>
      </c>
      <c r="C863" s="13" t="s">
        <v>181</v>
      </c>
      <c r="D863" s="13" t="s">
        <v>1300</v>
      </c>
      <c r="E863" s="2" t="s">
        <v>38</v>
      </c>
      <c r="F863" s="13" t="s">
        <v>215</v>
      </c>
      <c r="G863" s="13" t="s">
        <v>222</v>
      </c>
      <c r="H863" s="58" t="str">
        <f>Table1[[#This Row],[Tabela]]&amp;Table1[[#This Row],[Campo]]</f>
        <v>modesg_inp_empr_excl_parisnome_pais</v>
      </c>
      <c r="I863" s="3" t="s">
        <v>613</v>
      </c>
      <c r="J863" s="54">
        <f>VLOOKUP(Table1[[#This Row],[Status]],Auxiliar!$B$16:$C$24,2,0)</f>
        <v>1</v>
      </c>
      <c r="K863" s="21" t="s">
        <v>1257</v>
      </c>
      <c r="L863" s="28"/>
      <c r="M863" s="21" t="s">
        <v>1254</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1315</v>
      </c>
    </row>
    <row r="864" spans="2:24" ht="17.7" hidden="1" customHeight="1">
      <c r="B864" s="13" t="s">
        <v>26</v>
      </c>
      <c r="C864" s="13" t="s">
        <v>181</v>
      </c>
      <c r="D864" s="13" t="s">
        <v>1303</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1257</v>
      </c>
      <c r="L864" s="28"/>
      <c r="M864" s="21" t="s">
        <v>1254</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1303</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1249</v>
      </c>
      <c r="L865" s="28"/>
      <c r="M865" s="21" t="s">
        <v>1254</v>
      </c>
      <c r="N865" s="48">
        <v>45540</v>
      </c>
      <c r="O865" s="21">
        <f>INDEX(Auxiliar!$D$5:$F$13,MATCH(Table1[[#This Row],[Tipologia_Testes]],Auxiliar!$B$5:$B$13,0),MATCH(Table1[[#This Row],[Complexidade]],Auxiliar!$D$4:$F$4,0))</f>
        <v>0.1</v>
      </c>
      <c r="P865" s="2" t="s">
        <v>1317</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1303</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1257</v>
      </c>
      <c r="L866" s="28"/>
      <c r="M866" s="21" t="s">
        <v>1254</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1303</v>
      </c>
      <c r="E867" s="2" t="s">
        <v>38</v>
      </c>
      <c r="F867" s="13" t="s">
        <v>216</v>
      </c>
      <c r="G867" s="13" t="s">
        <v>240</v>
      </c>
      <c r="H867" s="58" t="str">
        <f>Table1[[#This Row],[Tabela]]&amp;Table1[[#This Row],[Campo]]</f>
        <v>modesg_inp_nfrd_alinhamento_taxclei</v>
      </c>
      <c r="I867" s="2" t="s">
        <v>613</v>
      </c>
      <c r="J867" s="46">
        <f>VLOOKUP(Table1[[#This Row],[Status]],Auxiliar!$B$16:$C$24,2,0)</f>
        <v>1</v>
      </c>
      <c r="K867" s="21" t="s">
        <v>1249</v>
      </c>
      <c r="L867" s="28"/>
      <c r="M867" s="21" t="s">
        <v>1254</v>
      </c>
      <c r="N867" s="48">
        <v>45540</v>
      </c>
      <c r="O867" s="21">
        <f>INDEX(Auxiliar!$D$5:$F$13,MATCH(Table1[[#This Row],[Tipologia_Testes]],Auxiliar!$B$5:$B$13,0),MATCH(Table1[[#This Row],[Complexidade]],Auxiliar!$D$4:$F$4,0))</f>
        <v>0.1</v>
      </c>
      <c r="P867" s="2" t="s">
        <v>1317</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1303</v>
      </c>
      <c r="E868" s="2" t="s">
        <v>38</v>
      </c>
      <c r="F868" s="13" t="s">
        <v>216</v>
      </c>
      <c r="G868" s="13" t="s">
        <v>240</v>
      </c>
      <c r="H868" s="58" t="str">
        <f>Table1[[#This Row],[Tabela]]&amp;Table1[[#This Row],[Campo]]</f>
        <v>modesg_inp_nfrd_alinhamento_taxclei</v>
      </c>
      <c r="I868" s="2" t="s">
        <v>613</v>
      </c>
      <c r="J868" s="46">
        <f>VLOOKUP(Table1[[#This Row],[Status]],Auxiliar!$B$16:$C$24,2,0)</f>
        <v>1</v>
      </c>
      <c r="K868" s="21" t="s">
        <v>1257</v>
      </c>
      <c r="L868" s="28"/>
      <c r="M868" s="21" t="s">
        <v>1254</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1303</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1257</v>
      </c>
      <c r="L869" s="28"/>
      <c r="M869" s="21" t="s">
        <v>1254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1303</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1257</v>
      </c>
      <c r="L870" s="28"/>
      <c r="M870" s="21" t="s">
        <v>1254</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1303</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1257</v>
      </c>
      <c r="L871" s="28"/>
      <c r="M871" s="21" t="s">
        <v>1254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1303</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1257</v>
      </c>
      <c r="L872" s="28"/>
      <c r="M872" s="21" t="s">
        <v>1254</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1303</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1249</v>
      </c>
      <c r="L873" s="28"/>
      <c r="M873" s="21" t="s">
        <v>1254</v>
      </c>
      <c r="N873" s="48">
        <v>45540</v>
      </c>
      <c r="O873" s="21">
        <f>INDEX(Auxiliar!$D$5:$F$13,MATCH(Table1[[#This Row],[Tipologia_Testes]],Auxiliar!$B$5:$B$13,0),MATCH(Table1[[#This Row],[Complexidade]],Auxiliar!$D$4:$F$4,0))</f>
        <v>0.1</v>
      </c>
      <c r="P873" s="2" t="s">
        <v>1318</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1303</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1257</v>
      </c>
      <c r="L874" s="28"/>
      <c r="M874" s="21" t="s">
        <v>1254</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1303</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1249</v>
      </c>
      <c r="L875" s="28"/>
      <c r="M875" s="21" t="s">
        <v>1254</v>
      </c>
      <c r="N875" s="48">
        <v>45540</v>
      </c>
      <c r="O875" s="21">
        <f>INDEX(Auxiliar!$D$5:$F$13,MATCH(Table1[[#This Row],[Tipologia_Testes]],Auxiliar!$B$5:$B$13,0),MATCH(Table1[[#This Row],[Complexidade]],Auxiliar!$D$4:$F$4,0))</f>
        <v>0.1</v>
      </c>
      <c r="P875" s="2" t="s">
        <v>1318</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1303</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1257</v>
      </c>
      <c r="L876" s="28"/>
      <c r="M876" s="21" t="s">
        <v>1254</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1303</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1249</v>
      </c>
      <c r="L877" s="28"/>
      <c r="M877" s="21" t="s">
        <v>1254</v>
      </c>
      <c r="N877" s="48">
        <v>45540</v>
      </c>
      <c r="O877" s="21">
        <f>INDEX(Auxiliar!$D$5:$F$13,MATCH(Table1[[#This Row],[Tipologia_Testes]],Auxiliar!$B$5:$B$13,0),MATCH(Table1[[#This Row],[Complexidade]],Auxiliar!$D$4:$F$4,0))</f>
        <v>0.1</v>
      </c>
      <c r="P877" s="2" t="s">
        <v>1318</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1303</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1257</v>
      </c>
      <c r="L878" s="28"/>
      <c r="M878" s="21" t="s">
        <v>1254</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1303</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1249</v>
      </c>
      <c r="L879" s="28"/>
      <c r="M879" s="21" t="s">
        <v>1254</v>
      </c>
      <c r="N879" s="48">
        <v>45540</v>
      </c>
      <c r="O879" s="21">
        <f>INDEX(Auxiliar!$D$5:$F$13,MATCH(Table1[[#This Row],[Tipologia_Testes]],Auxiliar!$B$5:$B$13,0),MATCH(Table1[[#This Row],[Complexidade]],Auxiliar!$D$4:$F$4,0))</f>
        <v>0.1</v>
      </c>
      <c r="P879" s="2" t="s">
        <v>1318</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1303</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1257</v>
      </c>
      <c r="L880" s="28"/>
      <c r="M880" s="21" t="s">
        <v>1254</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1303</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1249</v>
      </c>
      <c r="L881" s="28"/>
      <c r="M881" s="21" t="s">
        <v>1254</v>
      </c>
      <c r="N881" s="48">
        <v>45540</v>
      </c>
      <c r="O881" s="21">
        <f>INDEX(Auxiliar!$D$5:$F$13,MATCH(Table1[[#This Row],[Tipologia_Testes]],Auxiliar!$B$5:$B$13,0),MATCH(Table1[[#This Row],[Complexidade]],Auxiliar!$D$4:$F$4,0))</f>
        <v>0.1</v>
      </c>
      <c r="P881" s="2" t="s">
        <v>1318</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1303</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1257</v>
      </c>
      <c r="L882" s="28"/>
      <c r="M882" s="21" t="s">
        <v>1254</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1303</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1249</v>
      </c>
      <c r="L883" s="28"/>
      <c r="M883" s="21" t="s">
        <v>1254</v>
      </c>
      <c r="N883" s="48">
        <v>45540</v>
      </c>
      <c r="O883" s="21">
        <f>INDEX(Auxiliar!$D$5:$F$13,MATCH(Table1[[#This Row],[Tipologia_Testes]],Auxiliar!$B$5:$B$13,0),MATCH(Table1[[#This Row],[Complexidade]],Auxiliar!$D$4:$F$4,0))</f>
        <v>0.1</v>
      </c>
      <c r="P883" s="2" t="s">
        <v>1318</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1303</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1257</v>
      </c>
      <c r="L884" s="28"/>
      <c r="M884" s="21" t="s">
        <v>1254</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1303</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1249</v>
      </c>
      <c r="L885" s="28"/>
      <c r="M885" s="21" t="s">
        <v>1254</v>
      </c>
      <c r="N885" s="48">
        <v>45540</v>
      </c>
      <c r="O885" s="21">
        <f>INDEX(Auxiliar!$D$5:$F$13,MATCH(Table1[[#This Row],[Tipologia_Testes]],Auxiliar!$B$5:$B$13,0),MATCH(Table1[[#This Row],[Complexidade]],Auxiliar!$D$4:$F$4,0))</f>
        <v>0.1</v>
      </c>
      <c r="P885" s="2" t="s">
        <v>1318</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1303</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1257</v>
      </c>
      <c r="L886" s="28"/>
      <c r="M886" s="21" t="s">
        <v>1254</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1303</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1249</v>
      </c>
      <c r="L887" s="28"/>
      <c r="M887" s="21" t="s">
        <v>1254</v>
      </c>
      <c r="N887" s="48">
        <v>45540</v>
      </c>
      <c r="O887" s="21">
        <f>INDEX(Auxiliar!$D$5:$F$13,MATCH(Table1[[#This Row],[Tipologia_Testes]],Auxiliar!$B$5:$B$13,0),MATCH(Table1[[#This Row],[Complexidade]],Auxiliar!$D$4:$F$4,0))</f>
        <v>0.1</v>
      </c>
      <c r="P887" s="2" t="s">
        <v>1318</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1303</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1257</v>
      </c>
      <c r="L888" s="28"/>
      <c r="M888" s="21" t="s">
        <v>1254</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1303</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1249</v>
      </c>
      <c r="L889" s="28"/>
      <c r="M889" s="21" t="s">
        <v>1254</v>
      </c>
      <c r="N889" s="48">
        <v>45540</v>
      </c>
      <c r="O889" s="21">
        <f>INDEX(Auxiliar!$D$5:$F$13,MATCH(Table1[[#This Row],[Tipologia_Testes]],Auxiliar!$B$5:$B$13,0),MATCH(Table1[[#This Row],[Complexidade]],Auxiliar!$D$4:$F$4,0))</f>
        <v>0.1</v>
      </c>
      <c r="P889" s="2" t="s">
        <v>1318</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1303</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1257</v>
      </c>
      <c r="L890" s="28"/>
      <c r="M890" s="21" t="s">
        <v>1254</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1303</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1249</v>
      </c>
      <c r="L891" s="28"/>
      <c r="M891" s="21" t="s">
        <v>1254</v>
      </c>
      <c r="N891" s="48">
        <v>45540</v>
      </c>
      <c r="O891" s="21">
        <f>INDEX(Auxiliar!$D$5:$F$13,MATCH(Table1[[#This Row],[Tipologia_Testes]],Auxiliar!$B$5:$B$13,0),MATCH(Table1[[#This Row],[Complexidade]],Auxiliar!$D$4:$F$4,0))</f>
        <v>0.1</v>
      </c>
      <c r="P891" s="2" t="s">
        <v>1318</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1303</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1257</v>
      </c>
      <c r="L892" s="28"/>
      <c r="M892" s="21" t="s">
        <v>1254</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1303</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1249</v>
      </c>
      <c r="L893" s="28"/>
      <c r="M893" s="21" t="s">
        <v>1254</v>
      </c>
      <c r="N893" s="48">
        <v>45540</v>
      </c>
      <c r="O893" s="21">
        <f>INDEX(Auxiliar!$D$5:$F$13,MATCH(Table1[[#This Row],[Tipologia_Testes]],Auxiliar!$B$5:$B$13,0),MATCH(Table1[[#This Row],[Complexidade]],Auxiliar!$D$4:$F$4,0))</f>
        <v>0.1</v>
      </c>
      <c r="P893" s="2" t="s">
        <v>1318</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1303</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1257</v>
      </c>
      <c r="L894" s="28"/>
      <c r="M894" s="21" t="s">
        <v>1254</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1303</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1249</v>
      </c>
      <c r="L895" s="28"/>
      <c r="M895" s="21" t="s">
        <v>1254</v>
      </c>
      <c r="N895" s="48">
        <v>45540</v>
      </c>
      <c r="O895" s="21">
        <f>INDEX(Auxiliar!$D$5:$F$13,MATCH(Table1[[#This Row],[Tipologia_Testes]],Auxiliar!$B$5:$B$13,0),MATCH(Table1[[#This Row],[Complexidade]],Auxiliar!$D$4:$F$4,0))</f>
        <v>0.1</v>
      </c>
      <c r="P895" s="2" t="s">
        <v>1318</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1303</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1257</v>
      </c>
      <c r="L896" s="28"/>
      <c r="M896" s="21" t="s">
        <v>1254</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1303</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1249</v>
      </c>
      <c r="L897" s="28"/>
      <c r="M897" s="21" t="s">
        <v>1254</v>
      </c>
      <c r="N897" s="48">
        <v>45540</v>
      </c>
      <c r="O897" s="21">
        <f>INDEX(Auxiliar!$D$5:$F$13,MATCH(Table1[[#This Row],[Tipologia_Testes]],Auxiliar!$B$5:$B$13,0),MATCH(Table1[[#This Row],[Complexidade]],Auxiliar!$D$4:$F$4,0))</f>
        <v>0.1</v>
      </c>
      <c r="P897" s="2" t="s">
        <v>1318</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1303</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1257</v>
      </c>
      <c r="L898" s="28"/>
      <c r="M898" s="21" t="s">
        <v>1254</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1303</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1249</v>
      </c>
      <c r="L899" s="28"/>
      <c r="M899" s="21" t="s">
        <v>1254</v>
      </c>
      <c r="N899" s="48">
        <v>45540</v>
      </c>
      <c r="O899" s="21">
        <f>INDEX(Auxiliar!$D$5:$F$13,MATCH(Table1[[#This Row],[Tipologia_Testes]],Auxiliar!$B$5:$B$13,0),MATCH(Table1[[#This Row],[Complexidade]],Auxiliar!$D$4:$F$4,0))</f>
        <v>0.1</v>
      </c>
      <c r="P899" s="2" t="s">
        <v>1319</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1303</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1257</v>
      </c>
      <c r="L900" s="28"/>
      <c r="M900" s="21" t="s">
        <v>1254</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1303</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1249</v>
      </c>
      <c r="L901" s="2" t="s">
        <v>650</v>
      </c>
      <c r="M901" s="21" t="s">
        <v>1254</v>
      </c>
      <c r="N901" s="48">
        <v>45540</v>
      </c>
      <c r="O901" s="21">
        <f>INDEX(Auxiliar!$D$5:$F$13,MATCH(Table1[[#This Row],[Tipologia_Testes]],Auxiliar!$B$5:$B$13,0),MATCH(Table1[[#This Row],[Complexidade]],Auxiliar!$D$4:$F$4,0))</f>
        <v>0.1</v>
      </c>
      <c r="P901" s="2" t="s">
        <v>1320</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1303</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1257</v>
      </c>
      <c r="L902" s="2" t="s">
        <v>650</v>
      </c>
      <c r="M902" s="21" t="s">
        <v>1254</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1303</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1249</v>
      </c>
      <c r="L903" s="2" t="s">
        <v>650</v>
      </c>
      <c r="M903" s="21" t="s">
        <v>1254</v>
      </c>
      <c r="N903" s="48">
        <v>45540</v>
      </c>
      <c r="O903" s="21">
        <f>INDEX(Auxiliar!$D$5:$F$13,MATCH(Table1[[#This Row],[Tipologia_Testes]],Auxiliar!$B$5:$B$13,0),MATCH(Table1[[#This Row],[Complexidade]],Auxiliar!$D$4:$F$4,0))</f>
        <v>0.1</v>
      </c>
      <c r="P903" s="2" t="s">
        <v>1320</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1303</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1257</v>
      </c>
      <c r="L904" s="2" t="s">
        <v>650</v>
      </c>
      <c r="M904" s="21" t="s">
        <v>1254</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1303</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1249</v>
      </c>
      <c r="L905" s="2" t="s">
        <v>650</v>
      </c>
      <c r="M905" s="21" t="s">
        <v>1254</v>
      </c>
      <c r="N905" s="48">
        <v>45540</v>
      </c>
      <c r="O905" s="21">
        <f>INDEX(Auxiliar!$D$5:$F$13,MATCH(Table1[[#This Row],[Tipologia_Testes]],Auxiliar!$B$5:$B$13,0),MATCH(Table1[[#This Row],[Complexidade]],Auxiliar!$D$4:$F$4,0))</f>
        <v>0.1</v>
      </c>
      <c r="P905" s="2" t="s">
        <v>1320</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1303</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1257</v>
      </c>
      <c r="L906" s="2" t="s">
        <v>650</v>
      </c>
      <c r="M906" s="21" t="s">
        <v>1254</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1303</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1249</v>
      </c>
      <c r="L907" s="2" t="s">
        <v>650</v>
      </c>
      <c r="M907" s="21" t="s">
        <v>1254</v>
      </c>
      <c r="N907" s="48">
        <v>45540</v>
      </c>
      <c r="O907" s="21">
        <f>INDEX(Auxiliar!$D$5:$F$13,MATCH(Table1[[#This Row],[Tipologia_Testes]],Auxiliar!$B$5:$B$13,0),MATCH(Table1[[#This Row],[Complexidade]],Auxiliar!$D$4:$F$4,0))</f>
        <v>0.1</v>
      </c>
      <c r="P907" s="2" t="s">
        <v>1320</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1303</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1257</v>
      </c>
      <c r="L908" s="2" t="s">
        <v>650</v>
      </c>
      <c r="M908" s="21" t="s">
        <v>1254</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1303</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1249</v>
      </c>
      <c r="L909" s="2" t="s">
        <v>650</v>
      </c>
      <c r="M909" s="21" t="s">
        <v>1254</v>
      </c>
      <c r="N909" s="48">
        <v>45540</v>
      </c>
      <c r="O909" s="21">
        <f>INDEX(Auxiliar!$D$5:$F$13,MATCH(Table1[[#This Row],[Tipologia_Testes]],Auxiliar!$B$5:$B$13,0),MATCH(Table1[[#This Row],[Complexidade]],Auxiliar!$D$4:$F$4,0))</f>
        <v>0.1</v>
      </c>
      <c r="P909" s="2" t="s">
        <v>1320</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1303</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1257</v>
      </c>
      <c r="L910" s="2" t="s">
        <v>650</v>
      </c>
      <c r="M910" s="21" t="s">
        <v>1254</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1303</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1249</v>
      </c>
      <c r="L911" s="2" t="s">
        <v>650</v>
      </c>
      <c r="M911" s="21" t="s">
        <v>1254</v>
      </c>
      <c r="N911" s="48">
        <v>45540</v>
      </c>
      <c r="O911" s="21">
        <f>INDEX(Auxiliar!$D$5:$F$13,MATCH(Table1[[#This Row],[Tipologia_Testes]],Auxiliar!$B$5:$B$13,0),MATCH(Table1[[#This Row],[Complexidade]],Auxiliar!$D$4:$F$4,0))</f>
        <v>0.1</v>
      </c>
      <c r="P911" s="2" t="s">
        <v>1320</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1303</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1257</v>
      </c>
      <c r="L912" s="2" t="s">
        <v>650</v>
      </c>
      <c r="M912" s="21" t="s">
        <v>1254</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1303</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1249</v>
      </c>
      <c r="L913" s="2" t="s">
        <v>650</v>
      </c>
      <c r="M913" s="21" t="s">
        <v>1254</v>
      </c>
      <c r="N913" s="48">
        <v>45540</v>
      </c>
      <c r="O913" s="21">
        <f>INDEX(Auxiliar!$D$5:$F$13,MATCH(Table1[[#This Row],[Tipologia_Testes]],Auxiliar!$B$5:$B$13,0),MATCH(Table1[[#This Row],[Complexidade]],Auxiliar!$D$4:$F$4,0))</f>
        <v>0.1</v>
      </c>
      <c r="P913" s="2" t="s">
        <v>1320</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1303</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1257</v>
      </c>
      <c r="L914" s="2" t="s">
        <v>650</v>
      </c>
      <c r="M914" s="21" t="s">
        <v>1254</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1303</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1249</v>
      </c>
      <c r="L915" s="2" t="s">
        <v>650</v>
      </c>
      <c r="M915" s="21" t="s">
        <v>1254</v>
      </c>
      <c r="N915" s="48">
        <v>45540</v>
      </c>
      <c r="O915" s="21">
        <f>INDEX(Auxiliar!$D$5:$F$13,MATCH(Table1[[#This Row],[Tipologia_Testes]],Auxiliar!$B$5:$B$13,0),MATCH(Table1[[#This Row],[Complexidade]],Auxiliar!$D$4:$F$4,0))</f>
        <v>0.1</v>
      </c>
      <c r="P915" s="2" t="s">
        <v>1320</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1303</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1257</v>
      </c>
      <c r="L916" s="2" t="s">
        <v>650</v>
      </c>
      <c r="M916" s="21" t="s">
        <v>1254</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1303</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1249</v>
      </c>
      <c r="L917" s="2" t="s">
        <v>650</v>
      </c>
      <c r="M917" s="21" t="s">
        <v>1254</v>
      </c>
      <c r="N917" s="48">
        <v>45540</v>
      </c>
      <c r="O917" s="21">
        <f>INDEX(Auxiliar!$D$5:$F$13,MATCH(Table1[[#This Row],[Tipologia_Testes]],Auxiliar!$B$5:$B$13,0),MATCH(Table1[[#This Row],[Complexidade]],Auxiliar!$D$4:$F$4,0))</f>
        <v>0.1</v>
      </c>
      <c r="P917" s="2" t="s">
        <v>1320</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1303</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1257</v>
      </c>
      <c r="L918" s="2" t="s">
        <v>650</v>
      </c>
      <c r="M918" s="21" t="s">
        <v>1254</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1303</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1249</v>
      </c>
      <c r="L919" s="2" t="s">
        <v>650</v>
      </c>
      <c r="M919" s="21" t="s">
        <v>1254</v>
      </c>
      <c r="N919" s="48">
        <v>45540</v>
      </c>
      <c r="O919" s="21">
        <f>INDEX(Auxiliar!$D$5:$F$13,MATCH(Table1[[#This Row],[Tipologia_Testes]],Auxiliar!$B$5:$B$13,0),MATCH(Table1[[#This Row],[Complexidade]],Auxiliar!$D$4:$F$4,0))</f>
        <v>0.1</v>
      </c>
      <c r="P919" s="2" t="s">
        <v>1320</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1303</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1257</v>
      </c>
      <c r="L920" s="2" t="s">
        <v>650</v>
      </c>
      <c r="M920" s="21" t="s">
        <v>1254</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1303</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1249</v>
      </c>
      <c r="L921" s="2" t="s">
        <v>650</v>
      </c>
      <c r="M921" s="21" t="s">
        <v>1254</v>
      </c>
      <c r="N921" s="48">
        <v>45540</v>
      </c>
      <c r="O921" s="21">
        <f>INDEX(Auxiliar!$D$5:$F$13,MATCH(Table1[[#This Row],[Tipologia_Testes]],Auxiliar!$B$5:$B$13,0),MATCH(Table1[[#This Row],[Complexidade]],Auxiliar!$D$4:$F$4,0))</f>
        <v>0.1</v>
      </c>
      <c r="P921" s="2" t="s">
        <v>1320</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1303</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1257</v>
      </c>
      <c r="L922" s="2" t="s">
        <v>650</v>
      </c>
      <c r="M922" s="21" t="s">
        <v>1254</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1303</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1249</v>
      </c>
      <c r="L923" s="2" t="s">
        <v>650</v>
      </c>
      <c r="M923" s="21" t="s">
        <v>1254</v>
      </c>
      <c r="N923" s="48">
        <v>45540</v>
      </c>
      <c r="O923" s="21">
        <f>INDEX(Auxiliar!$D$5:$F$13,MATCH(Table1[[#This Row],[Tipologia_Testes]],Auxiliar!$B$5:$B$13,0),MATCH(Table1[[#This Row],[Complexidade]],Auxiliar!$D$4:$F$4,0))</f>
        <v>0.1</v>
      </c>
      <c r="P923" s="2" t="s">
        <v>1320</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1303</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1257</v>
      </c>
      <c r="L924" s="2" t="s">
        <v>650</v>
      </c>
      <c r="M924" s="21" t="s">
        <v>1254</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1303</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1249</v>
      </c>
      <c r="L925" s="2" t="s">
        <v>650</v>
      </c>
      <c r="M925" s="21" t="s">
        <v>1254</v>
      </c>
      <c r="N925" s="48">
        <v>45540</v>
      </c>
      <c r="O925" s="21">
        <f>INDEX(Auxiliar!$D$5:$F$13,MATCH(Table1[[#This Row],[Tipologia_Testes]],Auxiliar!$B$5:$B$13,0),MATCH(Table1[[#This Row],[Complexidade]],Auxiliar!$D$4:$F$4,0))</f>
        <v>0.1</v>
      </c>
      <c r="P925" s="2" t="s">
        <v>1320</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1303</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1257</v>
      </c>
      <c r="L926" s="2" t="s">
        <v>650</v>
      </c>
      <c r="M926" s="21" t="s">
        <v>1254</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1303</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1249</v>
      </c>
      <c r="L927" s="2" t="s">
        <v>650</v>
      </c>
      <c r="M927" s="21" t="s">
        <v>1254</v>
      </c>
      <c r="N927" s="48">
        <v>45540</v>
      </c>
      <c r="O927" s="21">
        <f>INDEX(Auxiliar!$D$5:$F$13,MATCH(Table1[[#This Row],[Tipologia_Testes]],Auxiliar!$B$5:$B$13,0),MATCH(Table1[[#This Row],[Complexidade]],Auxiliar!$D$4:$F$4,0))</f>
        <v>0.1</v>
      </c>
      <c r="P927" s="2" t="s">
        <v>1320</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1303</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1257</v>
      </c>
      <c r="L928" s="2" t="s">
        <v>650</v>
      </c>
      <c r="M928" s="21" t="s">
        <v>1254</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1303</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1249</v>
      </c>
      <c r="L929" s="2" t="s">
        <v>650</v>
      </c>
      <c r="M929" s="21" t="s">
        <v>1254</v>
      </c>
      <c r="N929" s="48">
        <v>45540</v>
      </c>
      <c r="O929" s="21">
        <f>INDEX(Auxiliar!$D$5:$F$13,MATCH(Table1[[#This Row],[Tipologia_Testes]],Auxiliar!$B$5:$B$13,0),MATCH(Table1[[#This Row],[Complexidade]],Auxiliar!$D$4:$F$4,0))</f>
        <v>0.1</v>
      </c>
      <c r="P929" s="2" t="s">
        <v>1320</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1303</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1257</v>
      </c>
      <c r="L930" s="2" t="s">
        <v>650</v>
      </c>
      <c r="M930" s="21" t="s">
        <v>1254</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1303</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1249</v>
      </c>
      <c r="L931" s="2" t="s">
        <v>650</v>
      </c>
      <c r="M931" s="21" t="s">
        <v>1254</v>
      </c>
      <c r="N931" s="48">
        <v>45540</v>
      </c>
      <c r="O931" s="21">
        <f>INDEX(Auxiliar!$D$5:$F$13,MATCH(Table1[[#This Row],[Tipologia_Testes]],Auxiliar!$B$5:$B$13,0),MATCH(Table1[[#This Row],[Complexidade]],Auxiliar!$D$4:$F$4,0))</f>
        <v>0.1</v>
      </c>
      <c r="P931" s="2" t="s">
        <v>1320</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1303</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1257</v>
      </c>
      <c r="L932" s="2" t="s">
        <v>650</v>
      </c>
      <c r="M932" s="21" t="s">
        <v>1254</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1303</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1249</v>
      </c>
      <c r="L933" s="2" t="s">
        <v>650</v>
      </c>
      <c r="M933" s="21" t="s">
        <v>1254</v>
      </c>
      <c r="N933" s="48">
        <v>45540</v>
      </c>
      <c r="O933" s="21">
        <f>INDEX(Auxiliar!$D$5:$F$13,MATCH(Table1[[#This Row],[Tipologia_Testes]],Auxiliar!$B$5:$B$13,0),MATCH(Table1[[#This Row],[Complexidade]],Auxiliar!$D$4:$F$4,0))</f>
        <v>0.1</v>
      </c>
      <c r="P933" s="2" t="s">
        <v>1320</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1303</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1257</v>
      </c>
      <c r="L934" s="2" t="s">
        <v>650</v>
      </c>
      <c r="M934" s="21" t="s">
        <v>1254</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1303</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1249</v>
      </c>
      <c r="L935" s="2" t="s">
        <v>650</v>
      </c>
      <c r="M935" s="21" t="s">
        <v>1254</v>
      </c>
      <c r="N935" s="48">
        <v>45540</v>
      </c>
      <c r="O935" s="21">
        <f>INDEX(Auxiliar!$D$5:$F$13,MATCH(Table1[[#This Row],[Tipologia_Testes]],Auxiliar!$B$5:$B$13,0),MATCH(Table1[[#This Row],[Complexidade]],Auxiliar!$D$4:$F$4,0))</f>
        <v>0.1</v>
      </c>
      <c r="P935" s="2" t="s">
        <v>1320</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1303</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1257</v>
      </c>
      <c r="L936" s="2" t="s">
        <v>650</v>
      </c>
      <c r="M936" s="21" t="s">
        <v>1254</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1303</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1249</v>
      </c>
      <c r="L937" s="2" t="s">
        <v>650</v>
      </c>
      <c r="M937" s="21" t="s">
        <v>1254</v>
      </c>
      <c r="N937" s="48">
        <v>45540</v>
      </c>
      <c r="O937" s="21">
        <f>INDEX(Auxiliar!$D$5:$F$13,MATCH(Table1[[#This Row],[Tipologia_Testes]],Auxiliar!$B$5:$B$13,0),MATCH(Table1[[#This Row],[Complexidade]],Auxiliar!$D$4:$F$4,0))</f>
        <v>0.1</v>
      </c>
      <c r="P937" s="2" t="s">
        <v>1320</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1303</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1257</v>
      </c>
      <c r="L938" s="2" t="s">
        <v>650</v>
      </c>
      <c r="M938" s="21" t="s">
        <v>1254</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1303</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1249</v>
      </c>
      <c r="L939" s="2" t="s">
        <v>650</v>
      </c>
      <c r="M939" s="21" t="s">
        <v>1254</v>
      </c>
      <c r="N939" s="48">
        <v>45540</v>
      </c>
      <c r="O939" s="21">
        <f>INDEX(Auxiliar!$D$5:$F$13,MATCH(Table1[[#This Row],[Tipologia_Testes]],Auxiliar!$B$5:$B$13,0),MATCH(Table1[[#This Row],[Complexidade]],Auxiliar!$D$4:$F$4,0))</f>
        <v>0.1</v>
      </c>
      <c r="P939" s="2" t="s">
        <v>1320</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1303</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1257</v>
      </c>
      <c r="L940" s="2" t="s">
        <v>650</v>
      </c>
      <c r="M940" s="21" t="s">
        <v>1254</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1304</v>
      </c>
      <c r="E941" s="2" t="s">
        <v>38</v>
      </c>
      <c r="F941" s="13" t="s">
        <v>217</v>
      </c>
      <c r="G941" s="13" t="s">
        <v>208</v>
      </c>
      <c r="H941" s="58" t="str">
        <f>Table1[[#This Row],[Tabela]]&amp;Table1[[#This Row],[Campo]]</f>
        <v>modesg_inp_risco_fisicoref_date</v>
      </c>
      <c r="I941" s="3" t="s">
        <v>613</v>
      </c>
      <c r="J941" s="54">
        <f>VLOOKUP(Table1[[#This Row],[Status]],Auxiliar!$B$16:$C$24,2,0)</f>
        <v>1</v>
      </c>
      <c r="K941" s="21" t="s">
        <v>1257</v>
      </c>
      <c r="L941" s="2" t="s">
        <v>650</v>
      </c>
      <c r="M941" s="21" t="s">
        <v>1254</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1315</v>
      </c>
    </row>
    <row r="942" spans="2:24" ht="17.7" hidden="1" customHeight="1">
      <c r="B942" s="13" t="s">
        <v>26</v>
      </c>
      <c r="C942" s="13" t="s">
        <v>181</v>
      </c>
      <c r="D942" s="13" t="s">
        <v>1304</v>
      </c>
      <c r="E942" s="2" t="s">
        <v>38</v>
      </c>
      <c r="F942" s="13" t="s">
        <v>217</v>
      </c>
      <c r="G942" s="13" t="s">
        <v>280</v>
      </c>
      <c r="H942" s="58" t="str">
        <f>Table1[[#This Row],[Tabela]]&amp;Table1[[#This Row],[Campo]]</f>
        <v>modesg_inp_risco_fisicocod_pais</v>
      </c>
      <c r="I942" s="3" t="s">
        <v>613</v>
      </c>
      <c r="J942" s="54">
        <f>VLOOKUP(Table1[[#This Row],[Status]],Auxiliar!$B$16:$C$24,2,0)</f>
        <v>1</v>
      </c>
      <c r="K942" s="21" t="s">
        <v>1249</v>
      </c>
      <c r="L942" s="2" t="s">
        <v>1252</v>
      </c>
      <c r="M942" s="21" t="s">
        <v>1254</v>
      </c>
      <c r="N942" s="48">
        <v>45485</v>
      </c>
      <c r="O942" s="21">
        <f>INDEX(Auxiliar!$D$5:$F$13,MATCH(Table1[[#This Row],[Tipologia_Testes]],Auxiliar!$B$5:$B$13,0),MATCH(Table1[[#This Row],[Complexidade]],Auxiliar!$D$4:$F$4,0))</f>
        <v>0.1</v>
      </c>
      <c r="P942" s="2" t="s">
        <v>1321</v>
      </c>
      <c r="Q942" s="2"/>
      <c r="R942" s="152">
        <v>45261</v>
      </c>
      <c r="S942" s="152"/>
      <c r="T942" s="152"/>
      <c r="U942" s="152">
        <v>45603</v>
      </c>
      <c r="V942" s="152"/>
      <c r="W942" s="2">
        <f>VLOOKUP(Table1[[#This Row],[Status]],Auxiliar!$B$16:$D$24,3,0)*Table1[[#This Row],[Estimação (horas)]]</f>
        <v>0.1</v>
      </c>
      <c r="X942" s="2" t="s">
        <v>1315</v>
      </c>
    </row>
    <row r="943" spans="2:24" ht="17.7" hidden="1" customHeight="1">
      <c r="B943" s="13" t="s">
        <v>26</v>
      </c>
      <c r="C943" s="13" t="s">
        <v>181</v>
      </c>
      <c r="D943" s="13" t="s">
        <v>1304</v>
      </c>
      <c r="E943" s="2" t="s">
        <v>38</v>
      </c>
      <c r="F943" s="13" t="s">
        <v>217</v>
      </c>
      <c r="G943" s="13" t="s">
        <v>280</v>
      </c>
      <c r="H943" s="58" t="str">
        <f>Table1[[#This Row],[Tabela]]&amp;Table1[[#This Row],[Campo]]</f>
        <v>modesg_inp_risco_fisicocod_pais</v>
      </c>
      <c r="I943" s="3" t="s">
        <v>613</v>
      </c>
      <c r="J943" s="54">
        <f>VLOOKUP(Table1[[#This Row],[Status]],Auxiliar!$B$16:$C$24,2,0)</f>
        <v>1</v>
      </c>
      <c r="K943" s="21" t="s">
        <v>1257</v>
      </c>
      <c r="L943" s="2" t="s">
        <v>1252</v>
      </c>
      <c r="M943" s="21" t="s">
        <v>1254</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1315</v>
      </c>
    </row>
    <row r="944" spans="2:24" ht="17.7" hidden="1" customHeight="1">
      <c r="B944" s="13" t="s">
        <v>26</v>
      </c>
      <c r="C944" s="13" t="s">
        <v>181</v>
      </c>
      <c r="D944" s="13" t="s">
        <v>1304</v>
      </c>
      <c r="E944" s="2" t="s">
        <v>38</v>
      </c>
      <c r="F944" s="13" t="s">
        <v>217</v>
      </c>
      <c r="G944" s="13" t="s">
        <v>281</v>
      </c>
      <c r="H944" s="58" t="str">
        <f>Table1[[#This Row],[Tabela]]&amp;Table1[[#This Row],[Campo]]</f>
        <v>modesg_inp_risco_fisicocod_nutiii</v>
      </c>
      <c r="I944" s="3" t="s">
        <v>613</v>
      </c>
      <c r="J944" s="54">
        <f>VLOOKUP(Table1[[#This Row],[Status]],Auxiliar!$B$16:$C$24,2,0)</f>
        <v>1</v>
      </c>
      <c r="K944" s="21" t="s">
        <v>1257</v>
      </c>
      <c r="L944" s="2" t="s">
        <v>1252</v>
      </c>
      <c r="M944" s="21" t="s">
        <v>1254</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1315</v>
      </c>
    </row>
    <row r="945" spans="2:24" ht="17.7" hidden="1" customHeight="1">
      <c r="B945" s="13" t="s">
        <v>26</v>
      </c>
      <c r="C945" s="13" t="s">
        <v>181</v>
      </c>
      <c r="D945" s="13" t="s">
        <v>1304</v>
      </c>
      <c r="E945" s="2" t="s">
        <v>38</v>
      </c>
      <c r="F945" s="13" t="s">
        <v>217</v>
      </c>
      <c r="G945" s="13" t="s">
        <v>282</v>
      </c>
      <c r="H945" s="58" t="str">
        <f>Table1[[#This Row],[Tabela]]&amp;Table1[[#This Row],[Campo]]</f>
        <v>modesg_inp_risco_fisicocod_nace_esg</v>
      </c>
      <c r="I945" s="3" t="s">
        <v>613</v>
      </c>
      <c r="J945" s="54">
        <f>VLOOKUP(Table1[[#This Row],[Status]],Auxiliar!$B$16:$C$24,2,0)</f>
        <v>1</v>
      </c>
      <c r="K945" s="21" t="s">
        <v>1249</v>
      </c>
      <c r="L945" s="2" t="s">
        <v>1252</v>
      </c>
      <c r="M945" s="21" t="s">
        <v>1254</v>
      </c>
      <c r="N945" s="48">
        <v>45569</v>
      </c>
      <c r="O945" s="21">
        <f>INDEX(Auxiliar!$D$5:$F$13,MATCH(Table1[[#This Row],[Tipologia_Testes]],Auxiliar!$B$5:$B$13,0),MATCH(Table1[[#This Row],[Complexidade]],Auxiliar!$D$4:$F$4,0))</f>
        <v>0.1</v>
      </c>
      <c r="P945" s="2" t="s">
        <v>1321</v>
      </c>
      <c r="Q945" s="2"/>
      <c r="R945" s="152">
        <v>45261</v>
      </c>
      <c r="S945" s="152"/>
      <c r="T945" s="152"/>
      <c r="U945" s="152">
        <v>45603</v>
      </c>
      <c r="V945" s="152"/>
      <c r="W945" s="2">
        <f>VLOOKUP(Table1[[#This Row],[Status]],Auxiliar!$B$16:$D$24,3,0)*Table1[[#This Row],[Estimação (horas)]]</f>
        <v>0.1</v>
      </c>
      <c r="X945" s="2" t="s">
        <v>1315</v>
      </c>
    </row>
    <row r="946" spans="2:24" ht="17.7" hidden="1" customHeight="1">
      <c r="B946" s="13" t="s">
        <v>26</v>
      </c>
      <c r="C946" s="13" t="s">
        <v>181</v>
      </c>
      <c r="D946" s="13" t="s">
        <v>1304</v>
      </c>
      <c r="E946" s="2" t="s">
        <v>38</v>
      </c>
      <c r="F946" s="13" t="s">
        <v>217</v>
      </c>
      <c r="G946" s="13" t="s">
        <v>282</v>
      </c>
      <c r="H946" s="58" t="str">
        <f>Table1[[#This Row],[Tabela]]&amp;Table1[[#This Row],[Campo]]</f>
        <v>modesg_inp_risco_fisicocod_nace_esg</v>
      </c>
      <c r="I946" s="3" t="s">
        <v>613</v>
      </c>
      <c r="J946" s="54">
        <f>VLOOKUP(Table1[[#This Row],[Status]],Auxiliar!$B$16:$C$24,2,0)</f>
        <v>1</v>
      </c>
      <c r="K946" s="21" t="s">
        <v>1257</v>
      </c>
      <c r="L946" s="2" t="s">
        <v>1252</v>
      </c>
      <c r="M946" s="21" t="s">
        <v>1254</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1315</v>
      </c>
    </row>
    <row r="947" spans="2:24" ht="17.7" hidden="1" customHeight="1">
      <c r="B947" s="13" t="s">
        <v>26</v>
      </c>
      <c r="C947" s="13" t="s">
        <v>181</v>
      </c>
      <c r="D947" s="13" t="s">
        <v>1304</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1249</v>
      </c>
      <c r="L947" s="2" t="s">
        <v>1252</v>
      </c>
      <c r="M947" s="21" t="s">
        <v>1254</v>
      </c>
      <c r="N947" s="48">
        <v>45485</v>
      </c>
      <c r="O947" s="21">
        <f>INDEX(Auxiliar!$D$5:$F$13,MATCH(Table1[[#This Row],[Tipologia_Testes]],Auxiliar!$B$5:$B$13,0),MATCH(Table1[[#This Row],[Complexidade]],Auxiliar!$D$4:$F$4,0))</f>
        <v>0.1</v>
      </c>
      <c r="P947" s="2" t="s">
        <v>1322</v>
      </c>
      <c r="Q947" s="2"/>
      <c r="R947" s="152">
        <v>45261</v>
      </c>
      <c r="S947" s="152"/>
      <c r="T947" s="152"/>
      <c r="U947" s="152">
        <v>45603</v>
      </c>
      <c r="V947" s="152"/>
      <c r="W947" s="2">
        <f>VLOOKUP(Table1[[#This Row],[Status]],Auxiliar!$B$16:$D$24,3,0)*Table1[[#This Row],[Estimação (horas)]]</f>
        <v>0.1</v>
      </c>
      <c r="X947" s="2" t="s">
        <v>1315</v>
      </c>
    </row>
    <row r="948" spans="2:24" ht="17.7" hidden="1" customHeight="1">
      <c r="B948" s="13" t="s">
        <v>26</v>
      </c>
      <c r="C948" s="13" t="s">
        <v>181</v>
      </c>
      <c r="D948" s="13" t="s">
        <v>1304</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1257</v>
      </c>
      <c r="L948" s="2" t="s">
        <v>1252</v>
      </c>
      <c r="M948" s="21" t="s">
        <v>1254</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1315</v>
      </c>
    </row>
    <row r="949" spans="2:24" ht="17.7" hidden="1" customHeight="1">
      <c r="B949" s="13" t="s">
        <v>26</v>
      </c>
      <c r="C949" s="13" t="s">
        <v>181</v>
      </c>
      <c r="D949" s="13" t="s">
        <v>1304</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1249</v>
      </c>
      <c r="L949" s="2" t="s">
        <v>1252</v>
      </c>
      <c r="M949" s="21" t="s">
        <v>1254</v>
      </c>
      <c r="N949" s="48">
        <v>45485</v>
      </c>
      <c r="O949" s="21">
        <f>INDEX(Auxiliar!$D$5:$F$13,MATCH(Table1[[#This Row],[Tipologia_Testes]],Auxiliar!$B$5:$B$13,0),MATCH(Table1[[#This Row],[Complexidade]],Auxiliar!$D$4:$F$4,0))</f>
        <v>0.1</v>
      </c>
      <c r="P949" s="2" t="s">
        <v>1322</v>
      </c>
      <c r="Q949" s="2"/>
      <c r="R949" s="152">
        <v>45261</v>
      </c>
      <c r="S949" s="152"/>
      <c r="T949" s="152"/>
      <c r="U949" s="152">
        <v>45603</v>
      </c>
      <c r="V949" s="152"/>
      <c r="W949" s="2">
        <f>VLOOKUP(Table1[[#This Row],[Status]],Auxiliar!$B$16:$D$24,3,0)*Table1[[#This Row],[Estimação (horas)]]</f>
        <v>0.1</v>
      </c>
      <c r="X949" s="2" t="s">
        <v>1315</v>
      </c>
    </row>
    <row r="950" spans="2:24" ht="17.7" hidden="1" customHeight="1">
      <c r="B950" s="13" t="s">
        <v>26</v>
      </c>
      <c r="C950" s="13" t="s">
        <v>181</v>
      </c>
      <c r="D950" s="13" t="s">
        <v>1304</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1257</v>
      </c>
      <c r="L950" s="2" t="s">
        <v>1252</v>
      </c>
      <c r="M950" s="21" t="s">
        <v>1254</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1315</v>
      </c>
    </row>
    <row r="951" spans="2:24" ht="17.7" hidden="1" customHeight="1">
      <c r="B951" s="13" t="s">
        <v>26</v>
      </c>
      <c r="C951" s="13" t="s">
        <v>181</v>
      </c>
      <c r="D951" s="13" t="s">
        <v>1296</v>
      </c>
      <c r="E951" s="2" t="s">
        <v>38</v>
      </c>
      <c r="F951" s="13" t="s">
        <v>218</v>
      </c>
      <c r="G951" s="13" t="s">
        <v>208</v>
      </c>
      <c r="H951" s="58" t="str">
        <f>Table1[[#This Row],[Tabela]]&amp;Table1[[#This Row],[Campo]]</f>
        <v>modesg_inp_emss_scibref_date</v>
      </c>
      <c r="I951" s="2" t="s">
        <v>613</v>
      </c>
      <c r="J951" s="46">
        <f>VLOOKUP(Table1[[#This Row],[Status]],Auxiliar!$B$16:$C$24,2,0)</f>
        <v>1</v>
      </c>
      <c r="K951" s="21" t="s">
        <v>1257</v>
      </c>
      <c r="L951" s="2" t="s">
        <v>1252</v>
      </c>
      <c r="M951" s="21" t="s">
        <v>1254</v>
      </c>
      <c r="N951" s="48">
        <v>45490</v>
      </c>
      <c r="O951" s="21">
        <f>INDEX(Auxiliar!$D$5:$F$13,MATCH(Table1[[#This Row],[Tipologia_Testes]],Auxiliar!$B$5:$B$13,0),MATCH(Table1[[#This Row],[Complexidade]],Auxiliar!$D$4:$F$4,0))</f>
        <v>0.5</v>
      </c>
      <c r="P951" s="2"/>
      <c r="Q951" s="2" t="s">
        <v>1299</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1296</v>
      </c>
      <c r="E952" s="2" t="s">
        <v>38</v>
      </c>
      <c r="F952" s="13" t="s">
        <v>218</v>
      </c>
      <c r="G952" s="13" t="s">
        <v>241</v>
      </c>
      <c r="H952" s="58" t="str">
        <f>Table1[[#This Row],[Tabela]]&amp;Table1[[#This Row],[Campo]]</f>
        <v>modesg_inp_emss_scibccli_kgl</v>
      </c>
      <c r="I952" s="2" t="s">
        <v>613</v>
      </c>
      <c r="J952" s="46">
        <f>VLOOKUP(Table1[[#This Row],[Status]],Auxiliar!$B$16:$C$24,2,0)</f>
        <v>1</v>
      </c>
      <c r="K952" s="21" t="s">
        <v>1249</v>
      </c>
      <c r="L952" s="2" t="s">
        <v>1252</v>
      </c>
      <c r="M952" s="21" t="s">
        <v>1254</v>
      </c>
      <c r="N952" s="48">
        <v>45490</v>
      </c>
      <c r="O952" s="21">
        <f>INDEX(Auxiliar!$D$5:$F$13,MATCH(Table1[[#This Row],[Tipologia_Testes]],Auxiliar!$B$5:$B$13,0),MATCH(Table1[[#This Row],[Complexidade]],Auxiliar!$D$4:$F$4,0))</f>
        <v>0.1</v>
      </c>
      <c r="P952" s="2" t="s">
        <v>1316</v>
      </c>
      <c r="Q952" s="2" t="s">
        <v>1299</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1296</v>
      </c>
      <c r="E953" s="2" t="s">
        <v>38</v>
      </c>
      <c r="F953" s="13" t="s">
        <v>218</v>
      </c>
      <c r="G953" s="13" t="s">
        <v>241</v>
      </c>
      <c r="H953" s="58" t="str">
        <f>Table1[[#This Row],[Tabela]]&amp;Table1[[#This Row],[Campo]]</f>
        <v>modesg_inp_emss_scibccli_kgl</v>
      </c>
      <c r="I953" s="2" t="s">
        <v>613</v>
      </c>
      <c r="J953" s="46">
        <f>VLOOKUP(Table1[[#This Row],[Status]],Auxiliar!$B$16:$C$24,2,0)</f>
        <v>1</v>
      </c>
      <c r="K953" s="21" t="s">
        <v>1257</v>
      </c>
      <c r="L953" s="2" t="s">
        <v>1252</v>
      </c>
      <c r="M953" s="21" t="s">
        <v>1254</v>
      </c>
      <c r="N953" s="48">
        <v>45490</v>
      </c>
      <c r="O953" s="21">
        <f>INDEX(Auxiliar!$D$5:$F$13,MATCH(Table1[[#This Row],[Tipologia_Testes]],Auxiliar!$B$5:$B$13,0),MATCH(Table1[[#This Row],[Complexidade]],Auxiliar!$D$4:$F$4,0))</f>
        <v>0.5</v>
      </c>
      <c r="P953" s="2"/>
      <c r="Q953" s="2" t="s">
        <v>1299</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1296</v>
      </c>
      <c r="E954" s="2" t="s">
        <v>38</v>
      </c>
      <c r="F954" s="13" t="s">
        <v>218</v>
      </c>
      <c r="G954" s="13" t="s">
        <v>285</v>
      </c>
      <c r="H954" s="58" t="str">
        <f>Table1[[#This Row],[Tabela]]&amp;Table1[[#This Row],[Campo]]</f>
        <v>modesg_inp_emss_scibnome_grupo</v>
      </c>
      <c r="I954" s="2" t="s">
        <v>613</v>
      </c>
      <c r="J954" s="46">
        <f>VLOOKUP(Table1[[#This Row],[Status]],Auxiliar!$B$16:$C$24,2,0)</f>
        <v>1</v>
      </c>
      <c r="K954" s="21" t="s">
        <v>1257</v>
      </c>
      <c r="L954" s="2" t="s">
        <v>1252</v>
      </c>
      <c r="M954" s="21" t="s">
        <v>1254</v>
      </c>
      <c r="N954" s="48">
        <v>45490</v>
      </c>
      <c r="O954" s="21">
        <f>INDEX(Auxiliar!$D$5:$F$13,MATCH(Table1[[#This Row],[Tipologia_Testes]],Auxiliar!$B$5:$B$13,0),MATCH(Table1[[#This Row],[Complexidade]],Auxiliar!$D$4:$F$4,0))</f>
        <v>0.5</v>
      </c>
      <c r="P954" s="2"/>
      <c r="Q954" s="2" t="s">
        <v>1299</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1296</v>
      </c>
      <c r="E955" s="2" t="s">
        <v>38</v>
      </c>
      <c r="F955" s="13" t="s">
        <v>218</v>
      </c>
      <c r="G955" s="13" t="s">
        <v>239</v>
      </c>
      <c r="H955" s="58" t="str">
        <f>Table1[[#This Row],[Tabela]]&amp;Table1[[#This Row],[Campo]]</f>
        <v>modesg_inp_emss_scibisin</v>
      </c>
      <c r="I955" s="2" t="s">
        <v>613</v>
      </c>
      <c r="J955" s="46">
        <f>VLOOKUP(Table1[[#This Row],[Status]],Auxiliar!$B$16:$C$24,2,0)</f>
        <v>1</v>
      </c>
      <c r="K955" s="21" t="s">
        <v>1249</v>
      </c>
      <c r="L955" s="2" t="s">
        <v>1252</v>
      </c>
      <c r="M955" s="21" t="s">
        <v>1254</v>
      </c>
      <c r="N955" s="48">
        <v>45490</v>
      </c>
      <c r="O955" s="21">
        <f>INDEX(Auxiliar!$D$5:$F$13,MATCH(Table1[[#This Row],[Tipologia_Testes]],Auxiliar!$B$5:$B$13,0),MATCH(Table1[[#This Row],[Complexidade]],Auxiliar!$D$4:$F$4,0))</f>
        <v>0.1</v>
      </c>
      <c r="P955" s="2" t="s">
        <v>1316</v>
      </c>
      <c r="Q955" s="2" t="s">
        <v>1299</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1296</v>
      </c>
      <c r="E956" s="2" t="s">
        <v>38</v>
      </c>
      <c r="F956" s="13" t="s">
        <v>218</v>
      </c>
      <c r="G956" s="13" t="s">
        <v>239</v>
      </c>
      <c r="H956" s="58" t="str">
        <f>Table1[[#This Row],[Tabela]]&amp;Table1[[#This Row],[Campo]]</f>
        <v>modesg_inp_emss_scibisin</v>
      </c>
      <c r="I956" s="2" t="s">
        <v>613</v>
      </c>
      <c r="J956" s="46">
        <f>VLOOKUP(Table1[[#This Row],[Status]],Auxiliar!$B$16:$C$24,2,0)</f>
        <v>1</v>
      </c>
      <c r="K956" s="21" t="s">
        <v>1257</v>
      </c>
      <c r="L956" s="2" t="s">
        <v>1252</v>
      </c>
      <c r="M956" s="21" t="s">
        <v>1254</v>
      </c>
      <c r="N956" s="48">
        <v>45490</v>
      </c>
      <c r="O956" s="21">
        <f>INDEX(Auxiliar!$D$5:$F$13,MATCH(Table1[[#This Row],[Tipologia_Testes]],Auxiliar!$B$5:$B$13,0),MATCH(Table1[[#This Row],[Complexidade]],Auxiliar!$D$4:$F$4,0))</f>
        <v>0.5</v>
      </c>
      <c r="P956" s="2"/>
      <c r="Q956" s="2" t="s">
        <v>1299</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1296</v>
      </c>
      <c r="E957" s="2" t="s">
        <v>38</v>
      </c>
      <c r="F957" s="13" t="s">
        <v>218</v>
      </c>
      <c r="G957" s="13" t="s">
        <v>240</v>
      </c>
      <c r="H957" s="58" t="str">
        <f>Table1[[#This Row],[Tabela]]&amp;Table1[[#This Row],[Campo]]</f>
        <v>modesg_inp_emss_scibclei</v>
      </c>
      <c r="I957" s="2" t="s">
        <v>613</v>
      </c>
      <c r="J957" s="46">
        <f>VLOOKUP(Table1[[#This Row],[Status]],Auxiliar!$B$16:$C$24,2,0)</f>
        <v>1</v>
      </c>
      <c r="K957" s="21" t="s">
        <v>1249</v>
      </c>
      <c r="L957" s="2" t="s">
        <v>1252</v>
      </c>
      <c r="M957" s="21" t="s">
        <v>1254</v>
      </c>
      <c r="N957" s="48">
        <v>45490</v>
      </c>
      <c r="O957" s="21">
        <f>INDEX(Auxiliar!$D$5:$F$13,MATCH(Table1[[#This Row],[Tipologia_Testes]],Auxiliar!$B$5:$B$13,0),MATCH(Table1[[#This Row],[Complexidade]],Auxiliar!$D$4:$F$4,0))</f>
        <v>0.1</v>
      </c>
      <c r="P957" s="2" t="s">
        <v>1316</v>
      </c>
      <c r="Q957" s="2" t="s">
        <v>1299</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1296</v>
      </c>
      <c r="E958" s="2" t="s">
        <v>38</v>
      </c>
      <c r="F958" s="13" t="s">
        <v>218</v>
      </c>
      <c r="G958" s="13" t="s">
        <v>240</v>
      </c>
      <c r="H958" s="58" t="str">
        <f>Table1[[#This Row],[Tabela]]&amp;Table1[[#This Row],[Campo]]</f>
        <v>modesg_inp_emss_scibclei</v>
      </c>
      <c r="I958" s="2" t="s">
        <v>613</v>
      </c>
      <c r="J958" s="46">
        <f>VLOOKUP(Table1[[#This Row],[Status]],Auxiliar!$B$16:$C$24,2,0)</f>
        <v>1</v>
      </c>
      <c r="K958" s="21" t="s">
        <v>1257</v>
      </c>
      <c r="L958" s="2" t="s">
        <v>1252</v>
      </c>
      <c r="M958" s="21" t="s">
        <v>1254</v>
      </c>
      <c r="N958" s="48">
        <v>45490</v>
      </c>
      <c r="O958" s="21">
        <f>INDEX(Auxiliar!$D$5:$F$13,MATCH(Table1[[#This Row],[Tipologia_Testes]],Auxiliar!$B$5:$B$13,0),MATCH(Table1[[#This Row],[Complexidade]],Auxiliar!$D$4:$F$4,0))</f>
        <v>0.5</v>
      </c>
      <c r="P958" s="2"/>
      <c r="Q958" s="2" t="s">
        <v>1299</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1296</v>
      </c>
      <c r="E959" s="2" t="s">
        <v>38</v>
      </c>
      <c r="F959" s="13" t="s">
        <v>218</v>
      </c>
      <c r="G959" s="13" t="s">
        <v>286</v>
      </c>
      <c r="H959" s="58" t="str">
        <f>Table1[[#This Row],[Tabela]]&amp;Table1[[#This Row],[Campo]]</f>
        <v>modesg_inp_emss_scibscp1_emss</v>
      </c>
      <c r="I959" s="2" t="s">
        <v>613</v>
      </c>
      <c r="J959" s="46">
        <f>VLOOKUP(Table1[[#This Row],[Status]],Auxiliar!$B$16:$C$24,2,0)</f>
        <v>1</v>
      </c>
      <c r="K959" s="21" t="s">
        <v>1249</v>
      </c>
      <c r="L959" s="2" t="s">
        <v>1252</v>
      </c>
      <c r="M959" s="21" t="s">
        <v>1254</v>
      </c>
      <c r="N959" s="48">
        <v>45499</v>
      </c>
      <c r="O959" s="21">
        <f>INDEX(Auxiliar!$D$5:$F$13,MATCH(Table1[[#This Row],[Tipologia_Testes]],Auxiliar!$B$5:$B$13,0),MATCH(Table1[[#This Row],[Complexidade]],Auxiliar!$D$4:$F$4,0))</f>
        <v>0.1</v>
      </c>
      <c r="P959" s="2" t="s">
        <v>1323</v>
      </c>
      <c r="Q959" s="2" t="s">
        <v>1299</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1296</v>
      </c>
      <c r="E960" s="2" t="s">
        <v>38</v>
      </c>
      <c r="F960" s="13" t="s">
        <v>218</v>
      </c>
      <c r="G960" s="13" t="s">
        <v>286</v>
      </c>
      <c r="H960" s="58" t="str">
        <f>Table1[[#This Row],[Tabela]]&amp;Table1[[#This Row],[Campo]]</f>
        <v>modesg_inp_emss_scibscp1_emss</v>
      </c>
      <c r="I960" s="2" t="s">
        <v>613</v>
      </c>
      <c r="J960" s="46">
        <f>VLOOKUP(Table1[[#This Row],[Status]],Auxiliar!$B$16:$C$24,2,0)</f>
        <v>1</v>
      </c>
      <c r="K960" s="21" t="s">
        <v>1257</v>
      </c>
      <c r="L960" s="2" t="s">
        <v>1252</v>
      </c>
      <c r="M960" s="21" t="s">
        <v>1254</v>
      </c>
      <c r="N960" s="48">
        <v>45490</v>
      </c>
      <c r="O960" s="21">
        <f>INDEX(Auxiliar!$D$5:$F$13,MATCH(Table1[[#This Row],[Tipologia_Testes]],Auxiliar!$B$5:$B$13,0),MATCH(Table1[[#This Row],[Complexidade]],Auxiliar!$D$4:$F$4,0))</f>
        <v>0.5</v>
      </c>
      <c r="P960" s="2"/>
      <c r="Q960" s="2" t="s">
        <v>1299</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1296</v>
      </c>
      <c r="E961" s="2" t="s">
        <v>38</v>
      </c>
      <c r="F961" s="13" t="s">
        <v>218</v>
      </c>
      <c r="G961" s="13" t="s">
        <v>287</v>
      </c>
      <c r="H961" s="58" t="str">
        <f>Table1[[#This Row],[Tabela]]&amp;Table1[[#This Row],[Campo]]</f>
        <v>modesg_inp_emss_scibscp2_emss</v>
      </c>
      <c r="I961" s="2" t="s">
        <v>613</v>
      </c>
      <c r="J961" s="46">
        <f>VLOOKUP(Table1[[#This Row],[Status]],Auxiliar!$B$16:$C$24,2,0)</f>
        <v>1</v>
      </c>
      <c r="K961" s="21" t="s">
        <v>1249</v>
      </c>
      <c r="L961" s="2" t="s">
        <v>1252</v>
      </c>
      <c r="M961" s="21" t="s">
        <v>1254</v>
      </c>
      <c r="N961" s="48">
        <v>45499</v>
      </c>
      <c r="O961" s="21">
        <f>INDEX(Auxiliar!$D$5:$F$13,MATCH(Table1[[#This Row],[Tipologia_Testes]],Auxiliar!$B$5:$B$13,0),MATCH(Table1[[#This Row],[Complexidade]],Auxiliar!$D$4:$F$4,0))</f>
        <v>0.1</v>
      </c>
      <c r="P961" s="2" t="s">
        <v>1323</v>
      </c>
      <c r="Q961" s="2" t="s">
        <v>1299</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1296</v>
      </c>
      <c r="E962" s="2" t="s">
        <v>38</v>
      </c>
      <c r="F962" s="13" t="s">
        <v>218</v>
      </c>
      <c r="G962" s="13" t="s">
        <v>287</v>
      </c>
      <c r="H962" s="58" t="str">
        <f>Table1[[#This Row],[Tabela]]&amp;Table1[[#This Row],[Campo]]</f>
        <v>modesg_inp_emss_scibscp2_emss</v>
      </c>
      <c r="I962" s="2" t="s">
        <v>613</v>
      </c>
      <c r="J962" s="46">
        <f>VLOOKUP(Table1[[#This Row],[Status]],Auxiliar!$B$16:$C$24,2,0)</f>
        <v>1</v>
      </c>
      <c r="K962" s="21" t="s">
        <v>1257</v>
      </c>
      <c r="L962" s="2" t="s">
        <v>1252</v>
      </c>
      <c r="M962" s="21" t="s">
        <v>1254</v>
      </c>
      <c r="N962" s="48">
        <v>45490</v>
      </c>
      <c r="O962" s="21">
        <f>INDEX(Auxiliar!$D$5:$F$13,MATCH(Table1[[#This Row],[Tipologia_Testes]],Auxiliar!$B$5:$B$13,0),MATCH(Table1[[#This Row],[Complexidade]],Auxiliar!$D$4:$F$4,0))</f>
        <v>0.5</v>
      </c>
      <c r="P962" s="2"/>
      <c r="Q962" s="2" t="s">
        <v>1299</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1296</v>
      </c>
      <c r="E963" s="2" t="s">
        <v>38</v>
      </c>
      <c r="F963" s="13" t="s">
        <v>218</v>
      </c>
      <c r="G963" s="13" t="s">
        <v>288</v>
      </c>
      <c r="H963" s="58" t="str">
        <f>Table1[[#This Row],[Tabela]]&amp;Table1[[#This Row],[Campo]]</f>
        <v>modesg_inp_emss_scibscp3_emss</v>
      </c>
      <c r="I963" s="2" t="s">
        <v>613</v>
      </c>
      <c r="J963" s="46">
        <f>VLOOKUP(Table1[[#This Row],[Status]],Auxiliar!$B$16:$C$24,2,0)</f>
        <v>1</v>
      </c>
      <c r="K963" s="21" t="s">
        <v>1249</v>
      </c>
      <c r="L963" s="2" t="s">
        <v>1252</v>
      </c>
      <c r="M963" s="21" t="s">
        <v>1254</v>
      </c>
      <c r="N963" s="48">
        <v>45490</v>
      </c>
      <c r="O963" s="21">
        <f>INDEX(Auxiliar!$D$5:$F$13,MATCH(Table1[[#This Row],[Tipologia_Testes]],Auxiliar!$B$5:$B$13,0),MATCH(Table1[[#This Row],[Complexidade]],Auxiliar!$D$4:$F$4,0))</f>
        <v>0.1</v>
      </c>
      <c r="P963" s="2" t="s">
        <v>1323</v>
      </c>
      <c r="Q963" s="2" t="s">
        <v>1299</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1296</v>
      </c>
      <c r="E964" s="2" t="s">
        <v>38</v>
      </c>
      <c r="F964" s="13" t="s">
        <v>218</v>
      </c>
      <c r="G964" s="13" t="s">
        <v>288</v>
      </c>
      <c r="H964" s="58" t="str">
        <f>Table1[[#This Row],[Tabela]]&amp;Table1[[#This Row],[Campo]]</f>
        <v>modesg_inp_emss_scibscp3_emss</v>
      </c>
      <c r="I964" s="2" t="s">
        <v>613</v>
      </c>
      <c r="J964" s="46">
        <f>VLOOKUP(Table1[[#This Row],[Status]],Auxiliar!$B$16:$C$24,2,0)</f>
        <v>1</v>
      </c>
      <c r="K964" s="21" t="s">
        <v>1257</v>
      </c>
      <c r="L964" s="2" t="s">
        <v>1252</v>
      </c>
      <c r="M964" s="21" t="s">
        <v>1254</v>
      </c>
      <c r="N964" s="48">
        <v>45490</v>
      </c>
      <c r="O964" s="21">
        <f>INDEX(Auxiliar!$D$5:$F$13,MATCH(Table1[[#This Row],[Tipologia_Testes]],Auxiliar!$B$5:$B$13,0),MATCH(Table1[[#This Row],[Complexidade]],Auxiliar!$D$4:$F$4,0))</f>
        <v>0.5</v>
      </c>
      <c r="P964" s="2"/>
      <c r="Q964" s="2" t="s">
        <v>1299</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1296</v>
      </c>
      <c r="E965" s="2" t="s">
        <v>38</v>
      </c>
      <c r="F965" s="13" t="s">
        <v>218</v>
      </c>
      <c r="G965" s="13" t="s">
        <v>289</v>
      </c>
      <c r="H965" s="58" t="str">
        <f>Table1[[#This Row],[Tabela]]&amp;Table1[[#This Row],[Campo]]</f>
        <v>modesg_inp_emss_scibscore_scp1</v>
      </c>
      <c r="I965" s="2" t="s">
        <v>613</v>
      </c>
      <c r="J965" s="46">
        <f>VLOOKUP(Table1[[#This Row],[Status]],Auxiliar!$B$16:$C$24,2,0)</f>
        <v>1</v>
      </c>
      <c r="K965" s="21" t="s">
        <v>1257</v>
      </c>
      <c r="L965" s="2" t="s">
        <v>1252</v>
      </c>
      <c r="M965" s="21" t="s">
        <v>1254</v>
      </c>
      <c r="N965" s="48">
        <v>45490</v>
      </c>
      <c r="O965" s="21">
        <f>INDEX(Auxiliar!$D$5:$F$13,MATCH(Table1[[#This Row],[Tipologia_Testes]],Auxiliar!$B$5:$B$13,0),MATCH(Table1[[#This Row],[Complexidade]],Auxiliar!$D$4:$F$4,0))</f>
        <v>0.5</v>
      </c>
      <c r="P965" s="2"/>
      <c r="Q965" s="2" t="s">
        <v>1299</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1296</v>
      </c>
      <c r="E966" s="2" t="s">
        <v>38</v>
      </c>
      <c r="F966" s="13" t="s">
        <v>218</v>
      </c>
      <c r="G966" s="13" t="s">
        <v>290</v>
      </c>
      <c r="H966" s="58" t="str">
        <f>Table1[[#This Row],[Tabela]]&amp;Table1[[#This Row],[Campo]]</f>
        <v>modesg_inp_emss_scibscore_scp2</v>
      </c>
      <c r="I966" s="2" t="s">
        <v>613</v>
      </c>
      <c r="J966" s="46">
        <f>VLOOKUP(Table1[[#This Row],[Status]],Auxiliar!$B$16:$C$24,2,0)</f>
        <v>1</v>
      </c>
      <c r="K966" s="21" t="s">
        <v>1257</v>
      </c>
      <c r="L966" s="2" t="s">
        <v>1252</v>
      </c>
      <c r="M966" s="21" t="s">
        <v>1254</v>
      </c>
      <c r="N966" s="48">
        <v>45490</v>
      </c>
      <c r="O966" s="21">
        <f>INDEX(Auxiliar!$D$5:$F$13,MATCH(Table1[[#This Row],[Tipologia_Testes]],Auxiliar!$B$5:$B$13,0),MATCH(Table1[[#This Row],[Complexidade]],Auxiliar!$D$4:$F$4,0))</f>
        <v>0.5</v>
      </c>
      <c r="P966" s="2"/>
      <c r="Q966" s="2" t="s">
        <v>1299</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1296</v>
      </c>
      <c r="E967" s="2" t="s">
        <v>38</v>
      </c>
      <c r="F967" s="13" t="s">
        <v>218</v>
      </c>
      <c r="G967" s="13" t="s">
        <v>291</v>
      </c>
      <c r="H967" s="58" t="str">
        <f>Table1[[#This Row],[Tabela]]&amp;Table1[[#This Row],[Campo]]</f>
        <v>modesg_inp_emss_scibscore_scp3</v>
      </c>
      <c r="I967" s="2" t="s">
        <v>613</v>
      </c>
      <c r="J967" s="46">
        <f>VLOOKUP(Table1[[#This Row],[Status]],Auxiliar!$B$16:$C$24,2,0)</f>
        <v>1</v>
      </c>
      <c r="K967" s="21" t="s">
        <v>1257</v>
      </c>
      <c r="L967" s="2" t="s">
        <v>1252</v>
      </c>
      <c r="M967" s="21" t="s">
        <v>1254</v>
      </c>
      <c r="N967" s="48">
        <v>45490</v>
      </c>
      <c r="O967" s="21">
        <f>INDEX(Auxiliar!$D$5:$F$13,MATCH(Table1[[#This Row],[Tipologia_Testes]],Auxiliar!$B$5:$B$13,0),MATCH(Table1[[#This Row],[Complexidade]],Auxiliar!$D$4:$F$4,0))</f>
        <v>0.5</v>
      </c>
      <c r="P967" s="2"/>
      <c r="Q967" s="2" t="s">
        <v>1299</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1296</v>
      </c>
      <c r="E968" s="2" t="s">
        <v>38</v>
      </c>
      <c r="F968" s="13" t="s">
        <v>218</v>
      </c>
      <c r="G968" s="13" t="s">
        <v>292</v>
      </c>
      <c r="H968" s="58" t="str">
        <f>Table1[[#This Row],[Tabela]]&amp;Table1[[#This Row],[Campo]]</f>
        <v>modesg_inp_emss_sciborigem_scp1</v>
      </c>
      <c r="I968" s="2" t="s">
        <v>613</v>
      </c>
      <c r="J968" s="46">
        <f>VLOOKUP(Table1[[#This Row],[Status]],Auxiliar!$B$16:$C$24,2,0)</f>
        <v>1</v>
      </c>
      <c r="K968" s="21" t="s">
        <v>1257</v>
      </c>
      <c r="L968" s="2" t="s">
        <v>1252</v>
      </c>
      <c r="M968" s="21" t="s">
        <v>1254</v>
      </c>
      <c r="N968" s="48">
        <v>45490</v>
      </c>
      <c r="O968" s="21">
        <f>INDEX(Auxiliar!$D$5:$F$13,MATCH(Table1[[#This Row],[Tipologia_Testes]],Auxiliar!$B$5:$B$13,0),MATCH(Table1[[#This Row],[Complexidade]],Auxiliar!$D$4:$F$4,0))</f>
        <v>0.5</v>
      </c>
      <c r="P968" s="2"/>
      <c r="Q968" s="2" t="s">
        <v>1299</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1296</v>
      </c>
      <c r="E969" s="2" t="s">
        <v>38</v>
      </c>
      <c r="F969" s="13" t="s">
        <v>218</v>
      </c>
      <c r="G969" s="13" t="s">
        <v>293</v>
      </c>
      <c r="H969" s="58" t="str">
        <f>Table1[[#This Row],[Tabela]]&amp;Table1[[#This Row],[Campo]]</f>
        <v>modesg_inp_emss_sciborigem_scp2</v>
      </c>
      <c r="I969" s="2" t="s">
        <v>613</v>
      </c>
      <c r="J969" s="46">
        <f>VLOOKUP(Table1[[#This Row],[Status]],Auxiliar!$B$16:$C$24,2,0)</f>
        <v>1</v>
      </c>
      <c r="K969" s="21" t="s">
        <v>1257</v>
      </c>
      <c r="L969" s="2" t="s">
        <v>1252</v>
      </c>
      <c r="M969" s="21" t="s">
        <v>1254</v>
      </c>
      <c r="N969" s="48">
        <v>45490</v>
      </c>
      <c r="O969" s="21">
        <f>INDEX(Auxiliar!$D$5:$F$13,MATCH(Table1[[#This Row],[Tipologia_Testes]],Auxiliar!$B$5:$B$13,0),MATCH(Table1[[#This Row],[Complexidade]],Auxiliar!$D$4:$F$4,0))</f>
        <v>0.5</v>
      </c>
      <c r="P969" s="2"/>
      <c r="Q969" s="2" t="s">
        <v>1299</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1296</v>
      </c>
      <c r="E970" s="2" t="s">
        <v>38</v>
      </c>
      <c r="F970" s="13" t="s">
        <v>218</v>
      </c>
      <c r="G970" s="13" t="s">
        <v>294</v>
      </c>
      <c r="H970" s="58" t="str">
        <f>Table1[[#This Row],[Tabela]]&amp;Table1[[#This Row],[Campo]]</f>
        <v>modesg_inp_emss_sciborigem_scp3</v>
      </c>
      <c r="I970" s="2" t="s">
        <v>613</v>
      </c>
      <c r="J970" s="46">
        <f>VLOOKUP(Table1[[#This Row],[Status]],Auxiliar!$B$16:$C$24,2,0)</f>
        <v>1</v>
      </c>
      <c r="K970" s="21" t="s">
        <v>1257</v>
      </c>
      <c r="L970" s="2" t="s">
        <v>1252</v>
      </c>
      <c r="M970" s="21" t="s">
        <v>1254</v>
      </c>
      <c r="N970" s="48">
        <v>45490</v>
      </c>
      <c r="O970" s="21">
        <f>INDEX(Auxiliar!$D$5:$F$13,MATCH(Table1[[#This Row],[Tipologia_Testes]],Auxiliar!$B$5:$B$13,0),MATCH(Table1[[#This Row],[Complexidade]],Auxiliar!$D$4:$F$4,0))</f>
        <v>0.5</v>
      </c>
      <c r="P970" s="2"/>
      <c r="Q970" s="2" t="s">
        <v>1299</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1296</v>
      </c>
      <c r="E971" s="2" t="s">
        <v>38</v>
      </c>
      <c r="F971" s="13" t="s">
        <v>218</v>
      </c>
      <c r="G971" s="13" t="s">
        <v>295</v>
      </c>
      <c r="H971" s="58" t="str">
        <f>Table1[[#This Row],[Tabela]]&amp;Table1[[#This Row],[Campo]]</f>
        <v>modesg_inp_emss_scibano_info</v>
      </c>
      <c r="I971" s="2" t="s">
        <v>613</v>
      </c>
      <c r="J971" s="46">
        <f>VLOOKUP(Table1[[#This Row],[Status]],Auxiliar!$B$16:$C$24,2,0)</f>
        <v>1</v>
      </c>
      <c r="K971" s="21" t="s">
        <v>1257</v>
      </c>
      <c r="L971" s="2" t="s">
        <v>1244</v>
      </c>
      <c r="M971" s="21" t="s">
        <v>1254</v>
      </c>
      <c r="N971" s="48">
        <v>45490</v>
      </c>
      <c r="O971" s="21">
        <f>INDEX(Auxiliar!$D$5:$F$13,MATCH(Table1[[#This Row],[Tipologia_Testes]],Auxiliar!$B$5:$B$13,0),MATCH(Table1[[#This Row],[Complexidade]],Auxiliar!$D$4:$F$4,0))</f>
        <v>0.5</v>
      </c>
      <c r="P971" s="2" t="s">
        <v>1324</v>
      </c>
      <c r="Q971" s="2" t="s">
        <v>1299</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1296</v>
      </c>
      <c r="E972" s="2" t="s">
        <v>38</v>
      </c>
      <c r="F972" s="13" t="s">
        <v>218</v>
      </c>
      <c r="G972" s="13" t="s">
        <v>296</v>
      </c>
      <c r="H972" s="58" t="str">
        <f>Table1[[#This Row],[Tabela]]&amp;Table1[[#This Row],[Campo]]</f>
        <v>modesg_inp_emss_scibdivida_total</v>
      </c>
      <c r="I972" s="2" t="s">
        <v>613</v>
      </c>
      <c r="J972" s="46">
        <f>VLOOKUP(Table1[[#This Row],[Status]],Auxiliar!$B$16:$C$24,2,0)</f>
        <v>1</v>
      </c>
      <c r="K972" s="21" t="s">
        <v>1257</v>
      </c>
      <c r="L972" s="2" t="s">
        <v>1252</v>
      </c>
      <c r="M972" s="21" t="s">
        <v>1254</v>
      </c>
      <c r="N972" s="48">
        <v>45490</v>
      </c>
      <c r="O972" s="21">
        <f>INDEX(Auxiliar!$D$5:$F$13,MATCH(Table1[[#This Row],[Tipologia_Testes]],Auxiliar!$B$5:$B$13,0),MATCH(Table1[[#This Row],[Complexidade]],Auxiliar!$D$4:$F$4,0))</f>
        <v>0.5</v>
      </c>
      <c r="P972" s="2"/>
      <c r="Q972" s="2" t="s">
        <v>1299</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1296</v>
      </c>
      <c r="E973" s="2" t="s">
        <v>38</v>
      </c>
      <c r="F973" s="13" t="s">
        <v>218</v>
      </c>
      <c r="G973" s="13" t="s">
        <v>297</v>
      </c>
      <c r="H973" s="58" t="str">
        <f>Table1[[#This Row],[Tabela]]&amp;Table1[[#This Row],[Campo]]</f>
        <v>modesg_inp_emss_scibcapital_proprio</v>
      </c>
      <c r="I973" s="2" t="s">
        <v>613</v>
      </c>
      <c r="J973" s="46">
        <f>VLOOKUP(Table1[[#This Row],[Status]],Auxiliar!$B$16:$C$24,2,0)</f>
        <v>1</v>
      </c>
      <c r="K973" s="21" t="s">
        <v>1257</v>
      </c>
      <c r="L973" s="2" t="s">
        <v>1252</v>
      </c>
      <c r="M973" s="21" t="s">
        <v>1254</v>
      </c>
      <c r="N973" s="48">
        <v>45490</v>
      </c>
      <c r="O973" s="21">
        <f>INDEX(Auxiliar!$D$5:$F$13,MATCH(Table1[[#This Row],[Tipologia_Testes]],Auxiliar!$B$5:$B$13,0),MATCH(Table1[[#This Row],[Complexidade]],Auxiliar!$D$4:$F$4,0))</f>
        <v>0.5</v>
      </c>
      <c r="P973" s="2"/>
      <c r="Q973" s="2" t="s">
        <v>1299</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1296</v>
      </c>
      <c r="E974" s="2" t="s">
        <v>38</v>
      </c>
      <c r="F974" s="13" t="s">
        <v>219</v>
      </c>
      <c r="G974" s="13" t="s">
        <v>208</v>
      </c>
      <c r="H974" s="58" t="str">
        <f>Table1[[#This Row],[Tabela]]&amp;Table1[[#This Row],[Campo]]</f>
        <v>modesg_inp_emss_naceref_date</v>
      </c>
      <c r="I974" s="2" t="s">
        <v>613</v>
      </c>
      <c r="J974" s="46">
        <f>VLOOKUP(Table1[[#This Row],[Status]],Auxiliar!$B$16:$C$24,2,0)</f>
        <v>1</v>
      </c>
      <c r="K974" s="21" t="s">
        <v>1257</v>
      </c>
      <c r="L974" s="2" t="s">
        <v>1252</v>
      </c>
      <c r="M974" s="21" t="s">
        <v>1254</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1296</v>
      </c>
      <c r="E975" s="2" t="s">
        <v>38</v>
      </c>
      <c r="F975" s="13" t="s">
        <v>219</v>
      </c>
      <c r="G975" s="13" t="s">
        <v>298</v>
      </c>
      <c r="H975" s="58" t="str">
        <f>Table1[[#This Row],[Tabela]]&amp;Table1[[#This Row],[Campo]]</f>
        <v>modesg_inp_emss_naceano</v>
      </c>
      <c r="I975" s="2" t="s">
        <v>613</v>
      </c>
      <c r="J975" s="46">
        <f>VLOOKUP(Table1[[#This Row],[Status]],Auxiliar!$B$16:$C$24,2,0)</f>
        <v>1</v>
      </c>
      <c r="K975" s="21" t="s">
        <v>1257</v>
      </c>
      <c r="L975" s="2" t="s">
        <v>650</v>
      </c>
      <c r="M975" s="21" t="s">
        <v>1254</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1296</v>
      </c>
      <c r="E976" s="2" t="s">
        <v>38</v>
      </c>
      <c r="F976" s="13" t="s">
        <v>219</v>
      </c>
      <c r="G976" s="13" t="s">
        <v>222</v>
      </c>
      <c r="H976" s="58" t="str">
        <f>Table1[[#This Row],[Tabela]]&amp;Table1[[#This Row],[Campo]]</f>
        <v>modesg_inp_emss_nacenome_pais</v>
      </c>
      <c r="I976" s="2" t="s">
        <v>613</v>
      </c>
      <c r="J976" s="46">
        <f>VLOOKUP(Table1[[#This Row],[Status]],Auxiliar!$B$16:$C$24,2,0)</f>
        <v>1</v>
      </c>
      <c r="K976" s="21" t="s">
        <v>1257</v>
      </c>
      <c r="L976" s="2" t="s">
        <v>650</v>
      </c>
      <c r="M976" s="21" t="s">
        <v>1254</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1296</v>
      </c>
      <c r="E977" s="2" t="s">
        <v>38</v>
      </c>
      <c r="F977" s="13" t="s">
        <v>219</v>
      </c>
      <c r="G977" s="13" t="s">
        <v>282</v>
      </c>
      <c r="H977" s="58" t="str">
        <f>Table1[[#This Row],[Tabela]]&amp;Table1[[#This Row],[Campo]]</f>
        <v>modesg_inp_emss_nacecod_nace_esg</v>
      </c>
      <c r="I977" s="2" t="s">
        <v>613</v>
      </c>
      <c r="J977" s="46">
        <f>VLOOKUP(Table1[[#This Row],[Status]],Auxiliar!$B$16:$C$24,2,0)</f>
        <v>1</v>
      </c>
      <c r="K977" s="21" t="s">
        <v>1249</v>
      </c>
      <c r="L977" s="2" t="s">
        <v>1252</v>
      </c>
      <c r="M977" s="21" t="s">
        <v>1254</v>
      </c>
      <c r="N977" s="48">
        <v>45562</v>
      </c>
      <c r="O977" s="21">
        <f>INDEX(Auxiliar!$D$5:$F$13,MATCH(Table1[[#This Row],[Tipologia_Testes]],Auxiliar!$B$5:$B$13,0),MATCH(Table1[[#This Row],[Complexidade]],Auxiliar!$D$4:$F$4,0))</f>
        <v>0.1</v>
      </c>
      <c r="P977" s="23" t="s">
        <v>1325</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1296</v>
      </c>
      <c r="E978" s="2" t="s">
        <v>38</v>
      </c>
      <c r="F978" s="13" t="s">
        <v>219</v>
      </c>
      <c r="G978" s="13" t="s">
        <v>282</v>
      </c>
      <c r="H978" s="58" t="str">
        <f>Table1[[#This Row],[Tabela]]&amp;Table1[[#This Row],[Campo]]</f>
        <v>modesg_inp_emss_nacecod_nace_esg</v>
      </c>
      <c r="I978" s="2" t="s">
        <v>613</v>
      </c>
      <c r="J978" s="46">
        <f>VLOOKUP(Table1[[#This Row],[Status]],Auxiliar!$B$16:$C$24,2,0)</f>
        <v>1</v>
      </c>
      <c r="K978" s="21" t="s">
        <v>1257</v>
      </c>
      <c r="L978" s="2" t="s">
        <v>1252</v>
      </c>
      <c r="M978" s="21" t="s">
        <v>1254</v>
      </c>
      <c r="N978" s="48">
        <v>45562</v>
      </c>
      <c r="O978" s="21">
        <f>INDEX(Auxiliar!$D$5:$F$13,MATCH(Table1[[#This Row],[Tipologia_Testes]],Auxiliar!$B$5:$B$13,0),MATCH(Table1[[#This Row],[Complexidade]],Auxiliar!$D$4:$F$4,0))</f>
        <v>0.5</v>
      </c>
      <c r="P978" s="23" t="s">
        <v>1325</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1296</v>
      </c>
      <c r="E979" s="2" t="s">
        <v>38</v>
      </c>
      <c r="F979" s="13" t="s">
        <v>219</v>
      </c>
      <c r="G979" s="13" t="s">
        <v>299</v>
      </c>
      <c r="H979" s="58" t="str">
        <f>Table1[[#This Row],[Tabela]]&amp;Table1[[#This Row],[Campo]]</f>
        <v>modesg_inp_emss_nacecod_class_indust</v>
      </c>
      <c r="I979" s="2" t="s">
        <v>613</v>
      </c>
      <c r="J979" s="46">
        <f>VLOOKUP(Table1[[#This Row],[Status]],Auxiliar!$B$16:$C$24,2,0)</f>
        <v>1</v>
      </c>
      <c r="K979" s="21" t="s">
        <v>1257</v>
      </c>
      <c r="L979" s="2" t="s">
        <v>1252</v>
      </c>
      <c r="M979" s="21" t="s">
        <v>1254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1296</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1257</v>
      </c>
      <c r="L980" s="2" t="s">
        <v>650</v>
      </c>
      <c r="M980" s="21" t="s">
        <v>1254</v>
      </c>
      <c r="N980" s="48">
        <v>45537</v>
      </c>
      <c r="O980" s="21">
        <f>INDEX(Auxiliar!$D$5:$F$13,MATCH(Table1[[#This Row],[Tipologia_Testes]],Auxiliar!$B$5:$B$13,0),MATCH(Table1[[#This Row],[Complexidade]],Auxiliar!$D$4:$F$4,0))</f>
        <v>0.5</v>
      </c>
      <c r="P980" s="2" t="s">
        <v>1326</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1296</v>
      </c>
      <c r="E981" s="2" t="s">
        <v>38</v>
      </c>
      <c r="F981" s="13" t="s">
        <v>219</v>
      </c>
      <c r="G981" s="13" t="s">
        <v>301</v>
      </c>
      <c r="H981" s="58" t="str">
        <f>Table1[[#This Row],[Tabela]]&amp;Table1[[#This Row],[Campo]]</f>
        <v>modesg_inp_emss_naceclasse_ativo</v>
      </c>
      <c r="I981" s="2" t="s">
        <v>613</v>
      </c>
      <c r="J981" s="46">
        <f>VLOOKUP(Table1[[#This Row],[Status]],Auxiliar!$B$16:$C$24,2,0)</f>
        <v>1</v>
      </c>
      <c r="K981" s="21" t="s">
        <v>1257</v>
      </c>
      <c r="L981" s="2" t="s">
        <v>650</v>
      </c>
      <c r="M981" s="21" t="s">
        <v>1254</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1296</v>
      </c>
      <c r="E982" s="2" t="s">
        <v>38</v>
      </c>
      <c r="F982" s="13" t="s">
        <v>219</v>
      </c>
      <c r="G982" s="13" t="s">
        <v>302</v>
      </c>
      <c r="H982" s="58" t="str">
        <f>Table1[[#This Row],[Tabela]]&amp;Table1[[#This Row],[Campo]]</f>
        <v>modesg_inp_emss_naceopcao_metodologia</v>
      </c>
      <c r="I982" s="2" t="s">
        <v>613</v>
      </c>
      <c r="J982" s="46">
        <f>VLOOKUP(Table1[[#This Row],[Status]],Auxiliar!$B$16:$C$24,2,0)</f>
        <v>1</v>
      </c>
      <c r="K982" s="21" t="s">
        <v>1257</v>
      </c>
      <c r="L982" s="2" t="s">
        <v>650</v>
      </c>
      <c r="M982" s="21" t="s">
        <v>1254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1296</v>
      </c>
      <c r="E983" s="2" t="s">
        <v>38</v>
      </c>
      <c r="F983" s="13" t="s">
        <v>219</v>
      </c>
      <c r="G983" s="13" t="s">
        <v>230</v>
      </c>
      <c r="H983" s="58" t="str">
        <f>Table1[[#This Row],[Tabela]]&amp;Table1[[#This Row],[Campo]]</f>
        <v>modesg_inp_emss_naceunidade_funcional</v>
      </c>
      <c r="I983" s="2" t="s">
        <v>613</v>
      </c>
      <c r="J983" s="46">
        <f>VLOOKUP(Table1[[#This Row],[Status]],Auxiliar!$B$16:$C$24,2,0)</f>
        <v>1</v>
      </c>
      <c r="K983" s="21" t="s">
        <v>1249</v>
      </c>
      <c r="L983" s="2" t="s">
        <v>1252</v>
      </c>
      <c r="M983" s="21" t="s">
        <v>1254</v>
      </c>
      <c r="N983" s="48">
        <v>45540</v>
      </c>
      <c r="O983" s="21">
        <f>INDEX(Auxiliar!$D$5:$F$13,MATCH(Table1[[#This Row],[Tipologia_Testes]],Auxiliar!$B$5:$B$13,0),MATCH(Table1[[#This Row],[Complexidade]],Auxiliar!$D$4:$F$4,0))</f>
        <v>0.1</v>
      </c>
      <c r="P983" s="2" t="s">
        <v>1327</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1296</v>
      </c>
      <c r="E984" s="2" t="s">
        <v>38</v>
      </c>
      <c r="F984" s="13" t="s">
        <v>219</v>
      </c>
      <c r="G984" s="13" t="s">
        <v>230</v>
      </c>
      <c r="H984" s="58" t="str">
        <f>Table1[[#This Row],[Tabela]]&amp;Table1[[#This Row],[Campo]]</f>
        <v>modesg_inp_emss_naceunidade_funcional</v>
      </c>
      <c r="I984" s="2" t="s">
        <v>613</v>
      </c>
      <c r="J984" s="46">
        <f>VLOOKUP(Table1[[#This Row],[Status]],Auxiliar!$B$16:$C$24,2,0)</f>
        <v>1</v>
      </c>
      <c r="K984" s="21" t="s">
        <v>1257</v>
      </c>
      <c r="L984" s="2" t="s">
        <v>1252</v>
      </c>
      <c r="M984" s="21" t="s">
        <v>1254</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1296</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1257</v>
      </c>
      <c r="L985" s="2" t="s">
        <v>1252</v>
      </c>
      <c r="M985" s="21" t="s">
        <v>1254</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1296</v>
      </c>
      <c r="E986" s="2" t="s">
        <v>38</v>
      </c>
      <c r="F986" s="13" t="s">
        <v>219</v>
      </c>
      <c r="G986" s="13" t="s">
        <v>233</v>
      </c>
      <c r="H986" s="58" t="str">
        <f>Table1[[#This Row],[Tabela]]&amp;Table1[[#This Row],[Campo]]</f>
        <v>modesg_inp_emss_nacescore_qualidade</v>
      </c>
      <c r="I986" s="2" t="s">
        <v>613</v>
      </c>
      <c r="J986" s="46">
        <f>VLOOKUP(Table1[[#This Row],[Status]],Auxiliar!$B$16:$C$24,2,0)</f>
        <v>1</v>
      </c>
      <c r="K986" s="21" t="s">
        <v>1257</v>
      </c>
      <c r="L986" s="2" t="s">
        <v>1244</v>
      </c>
      <c r="M986" s="21" t="s">
        <v>1254</v>
      </c>
      <c r="N986" s="48">
        <v>45540</v>
      </c>
      <c r="O986" s="21">
        <f>INDEX(Auxiliar!$D$5:$F$13,MATCH(Table1[[#This Row],[Tipologia_Testes]],Auxiliar!$B$5:$B$13,0),MATCH(Table1[[#This Row],[Complexidade]],Auxiliar!$D$4:$F$4,0))</f>
        <v>0.5</v>
      </c>
      <c r="P986" s="2" t="s">
        <v>1324</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1296</v>
      </c>
      <c r="E987" s="2" t="s">
        <v>38</v>
      </c>
      <c r="F987" s="13" t="s">
        <v>219</v>
      </c>
      <c r="G987" s="13" t="s">
        <v>234</v>
      </c>
      <c r="H987" s="58" t="str">
        <f>Table1[[#This Row],[Tabela]]&amp;Table1[[#This Row],[Campo]]</f>
        <v>modesg_inp_emss_nacescp1_ftr_emss</v>
      </c>
      <c r="I987" s="2" t="s">
        <v>613</v>
      </c>
      <c r="J987" s="46">
        <f>VLOOKUP(Table1[[#This Row],[Status]],Auxiliar!$B$16:$C$24,2,0)</f>
        <v>1</v>
      </c>
      <c r="K987" s="21" t="s">
        <v>1249</v>
      </c>
      <c r="L987" s="2" t="s">
        <v>1252</v>
      </c>
      <c r="M987" s="21" t="s">
        <v>1254</v>
      </c>
      <c r="N987" s="48">
        <v>45562</v>
      </c>
      <c r="O987" s="21">
        <f>INDEX(Auxiliar!$D$5:$F$13,MATCH(Table1[[#This Row],[Tipologia_Testes]],Auxiliar!$B$5:$B$13,0),MATCH(Table1[[#This Row],[Complexidade]],Auxiliar!$D$4:$F$4,0))</f>
        <v>0.1</v>
      </c>
      <c r="P987" s="2" t="s">
        <v>1328</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1296</v>
      </c>
      <c r="E988" s="2" t="s">
        <v>38</v>
      </c>
      <c r="F988" s="13" t="s">
        <v>219</v>
      </c>
      <c r="G988" s="13" t="s">
        <v>234</v>
      </c>
      <c r="H988" s="58" t="str">
        <f>Table1[[#This Row],[Tabela]]&amp;Table1[[#This Row],[Campo]]</f>
        <v>modesg_inp_emss_nacescp1_ftr_emss</v>
      </c>
      <c r="I988" s="2" t="s">
        <v>613</v>
      </c>
      <c r="J988" s="46">
        <f>VLOOKUP(Table1[[#This Row],[Status]],Auxiliar!$B$16:$C$24,2,0)</f>
        <v>1</v>
      </c>
      <c r="K988" s="21" t="s">
        <v>1257</v>
      </c>
      <c r="L988" s="2" t="s">
        <v>1252</v>
      </c>
      <c r="M988" s="21" t="s">
        <v>1254</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1296</v>
      </c>
      <c r="E989" s="2" t="s">
        <v>38</v>
      </c>
      <c r="F989" s="13" t="s">
        <v>219</v>
      </c>
      <c r="G989" s="13" t="s">
        <v>235</v>
      </c>
      <c r="H989" s="58" t="str">
        <f>Table1[[#This Row],[Tabela]]&amp;Table1[[#This Row],[Campo]]</f>
        <v>modesg_inp_emss_nacescp2_ftr_emss</v>
      </c>
      <c r="I989" s="2" t="s">
        <v>613</v>
      </c>
      <c r="J989" s="46">
        <f>VLOOKUP(Table1[[#This Row],[Status]],Auxiliar!$B$16:$C$24,2,0)</f>
        <v>1</v>
      </c>
      <c r="K989" s="21" t="s">
        <v>1249</v>
      </c>
      <c r="L989" s="2" t="s">
        <v>1252</v>
      </c>
      <c r="M989" s="21" t="s">
        <v>1254</v>
      </c>
      <c r="N989" s="48">
        <v>45562</v>
      </c>
      <c r="O989" s="21">
        <f>INDEX(Auxiliar!$D$5:$F$13,MATCH(Table1[[#This Row],[Tipologia_Testes]],Auxiliar!$B$5:$B$13,0),MATCH(Table1[[#This Row],[Complexidade]],Auxiliar!$D$4:$F$4,0))</f>
        <v>0.1</v>
      </c>
      <c r="P989" s="2" t="s">
        <v>1328</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1296</v>
      </c>
      <c r="E990" s="2" t="s">
        <v>38</v>
      </c>
      <c r="F990" s="13" t="s">
        <v>219</v>
      </c>
      <c r="G990" s="13" t="s">
        <v>235</v>
      </c>
      <c r="H990" s="58" t="str">
        <f>Table1[[#This Row],[Tabela]]&amp;Table1[[#This Row],[Campo]]</f>
        <v>modesg_inp_emss_nacescp2_ftr_emss</v>
      </c>
      <c r="I990" s="2" t="s">
        <v>613</v>
      </c>
      <c r="J990" s="46">
        <f>VLOOKUP(Table1[[#This Row],[Status]],Auxiliar!$B$16:$C$24,2,0)</f>
        <v>1</v>
      </c>
      <c r="K990" s="21" t="s">
        <v>1257</v>
      </c>
      <c r="L990" s="2" t="s">
        <v>1252</v>
      </c>
      <c r="M990" s="21" t="s">
        <v>1254</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1296</v>
      </c>
      <c r="E991" s="2" t="s">
        <v>38</v>
      </c>
      <c r="F991" s="13" t="s">
        <v>219</v>
      </c>
      <c r="G991" s="13" t="s">
        <v>236</v>
      </c>
      <c r="H991" s="58" t="str">
        <f>Table1[[#This Row],[Tabela]]&amp;Table1[[#This Row],[Campo]]</f>
        <v>modesg_inp_emss_nacescp3_ftr_emss</v>
      </c>
      <c r="I991" s="2" t="s">
        <v>613</v>
      </c>
      <c r="J991" s="46">
        <f>VLOOKUP(Table1[[#This Row],[Status]],Auxiliar!$B$16:$C$24,2,0)</f>
        <v>1</v>
      </c>
      <c r="K991" s="21" t="s">
        <v>1249</v>
      </c>
      <c r="L991" s="2" t="s">
        <v>1252</v>
      </c>
      <c r="M991" s="21" t="s">
        <v>1254</v>
      </c>
      <c r="N991" s="48">
        <v>45562</v>
      </c>
      <c r="O991" s="21">
        <f>INDEX(Auxiliar!$D$5:$F$13,MATCH(Table1[[#This Row],[Tipologia_Testes]],Auxiliar!$B$5:$B$13,0),MATCH(Table1[[#This Row],[Complexidade]],Auxiliar!$D$4:$F$4,0))</f>
        <v>0.1</v>
      </c>
      <c r="P991" s="2" t="s">
        <v>1328</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1296</v>
      </c>
      <c r="E992" s="2" t="s">
        <v>38</v>
      </c>
      <c r="F992" s="13" t="s">
        <v>219</v>
      </c>
      <c r="G992" s="13" t="s">
        <v>236</v>
      </c>
      <c r="H992" s="58" t="str">
        <f>Table1[[#This Row],[Tabela]]&amp;Table1[[#This Row],[Campo]]</f>
        <v>modesg_inp_emss_nacescp3_ftr_emss</v>
      </c>
      <c r="I992" s="2" t="s">
        <v>613</v>
      </c>
      <c r="J992" s="46">
        <f>VLOOKUP(Table1[[#This Row],[Status]],Auxiliar!$B$16:$C$24,2,0)</f>
        <v>1</v>
      </c>
      <c r="K992" s="21" t="s">
        <v>1257</v>
      </c>
      <c r="L992" s="2" t="s">
        <v>1252</v>
      </c>
      <c r="M992" s="21" t="s">
        <v>1254</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1296</v>
      </c>
      <c r="E993" s="2" t="s">
        <v>38</v>
      </c>
      <c r="F993" s="13" t="s">
        <v>220</v>
      </c>
      <c r="G993" s="13" t="s">
        <v>208</v>
      </c>
      <c r="H993" s="58" t="str">
        <f>Table1[[#This Row],[Tabela]]&amp;Table1[[#This Row],[Campo]]</f>
        <v>modesg_inp_emss_bens_imoveisref_date</v>
      </c>
      <c r="I993" s="2" t="s">
        <v>613</v>
      </c>
      <c r="J993" s="46">
        <f>VLOOKUP(Table1[[#This Row],[Status]],Auxiliar!$B$16:$C$24,2,0)</f>
        <v>1</v>
      </c>
      <c r="K993" s="21" t="s">
        <v>1257</v>
      </c>
      <c r="L993" s="21" t="s">
        <v>1252</v>
      </c>
      <c r="M993" s="21" t="s">
        <v>1254</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1296</v>
      </c>
      <c r="E994" s="2" t="s">
        <v>38</v>
      </c>
      <c r="F994" s="13" t="s">
        <v>220</v>
      </c>
      <c r="G994" s="13" t="s">
        <v>222</v>
      </c>
      <c r="H994" s="58" t="str">
        <f>Table1[[#This Row],[Tabela]]&amp;Table1[[#This Row],[Campo]]</f>
        <v>modesg_inp_emss_bens_imoveisnome_pais</v>
      </c>
      <c r="I994" s="2" t="s">
        <v>613</v>
      </c>
      <c r="J994" s="46">
        <f>VLOOKUP(Table1[[#This Row],[Status]],Auxiliar!$B$16:$C$24,2,0)</f>
        <v>1</v>
      </c>
      <c r="K994" s="21" t="s">
        <v>1257</v>
      </c>
      <c r="L994" s="21" t="s">
        <v>1252</v>
      </c>
      <c r="M994" s="21" t="s">
        <v>1254</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1296</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1257</v>
      </c>
      <c r="L995" s="21" t="s">
        <v>1252</v>
      </c>
      <c r="M995" s="21" t="s">
        <v>1254</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1296</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1257</v>
      </c>
      <c r="L996" s="2" t="s">
        <v>650</v>
      </c>
      <c r="M996" s="21" t="s">
        <v>1254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1296</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1257</v>
      </c>
      <c r="L997" s="2" t="s">
        <v>650</v>
      </c>
      <c r="M997" s="21" t="s">
        <v>1254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1296</v>
      </c>
      <c r="E998" s="2" t="s">
        <v>38</v>
      </c>
      <c r="F998" s="13" t="s">
        <v>220</v>
      </c>
      <c r="G998" s="13" t="s">
        <v>305</v>
      </c>
      <c r="H998" s="58" t="str">
        <f>Table1[[#This Row],[Tabela]]&amp;Table1[[#This Row],[Campo]]</f>
        <v>modesg_inp_emss_bens_imoveisregiao</v>
      </c>
      <c r="I998" s="2" t="s">
        <v>613</v>
      </c>
      <c r="J998" s="46">
        <f>VLOOKUP(Table1[[#This Row],[Status]],Auxiliar!$B$16:$C$24,2,0)</f>
        <v>1</v>
      </c>
      <c r="K998" s="21" t="s">
        <v>1257</v>
      </c>
      <c r="L998" s="2" t="s">
        <v>650</v>
      </c>
      <c r="M998" s="21" t="s">
        <v>1254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1296</v>
      </c>
      <c r="E999" s="2" t="s">
        <v>38</v>
      </c>
      <c r="F999" s="13" t="s">
        <v>220</v>
      </c>
      <c r="G999" s="13" t="s">
        <v>306</v>
      </c>
      <c r="H999" s="58" t="str">
        <f>Table1[[#This Row],[Tabela]]&amp;Table1[[#This Row],[Campo]]</f>
        <v>modesg_inp_emss_bens_imoveistipo_bem</v>
      </c>
      <c r="I999" s="2" t="s">
        <v>613</v>
      </c>
      <c r="J999" s="46">
        <f>VLOOKUP(Table1[[#This Row],[Status]],Auxiliar!$B$16:$C$24,2,0)</f>
        <v>1</v>
      </c>
      <c r="K999" s="21" t="s">
        <v>1257</v>
      </c>
      <c r="L999" s="21" t="s">
        <v>1252</v>
      </c>
      <c r="M999" s="21" t="s">
        <v>1254</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1296</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1257</v>
      </c>
      <c r="L1000" s="21" t="s">
        <v>1252</v>
      </c>
      <c r="M1000" s="21" t="s">
        <v>1254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1296</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1257</v>
      </c>
      <c r="L1001" s="21" t="s">
        <v>1252</v>
      </c>
      <c r="M1001" s="21" t="s">
        <v>1254</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1296</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1257</v>
      </c>
      <c r="L1002" s="21" t="s">
        <v>1252</v>
      </c>
      <c r="M1002" s="21" t="s">
        <v>1254</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1296</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1257</v>
      </c>
      <c r="L1003" s="21" t="s">
        <v>1252</v>
      </c>
      <c r="M1003" s="21" t="s">
        <v>1254</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1296</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1257</v>
      </c>
      <c r="L1004" s="21" t="s">
        <v>1252</v>
      </c>
      <c r="M1004" s="21" t="s">
        <v>1254</v>
      </c>
      <c r="N1004" s="48">
        <v>45546</v>
      </c>
      <c r="O1004" s="21">
        <f>INDEX(Auxiliar!$D$5:$F$13,MATCH(Table1[[#This Row],[Tipologia_Testes]],Auxiliar!$B$5:$B$13,0),MATCH(Table1[[#This Row],[Complexidade]],Auxiliar!$D$4:$F$4,0))</f>
        <v>0.5</v>
      </c>
      <c r="P1004" s="2" t="s">
        <v>1329</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1296</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1257</v>
      </c>
      <c r="L1005" s="21" t="s">
        <v>1252</v>
      </c>
      <c r="M1005" s="21" t="s">
        <v>1254</v>
      </c>
      <c r="N1005" s="48">
        <v>45546</v>
      </c>
      <c r="O1005" s="21">
        <f>INDEX(Auxiliar!$D$5:$F$13,MATCH(Table1[[#This Row],[Tipologia_Testes]],Auxiliar!$B$5:$B$13,0),MATCH(Table1[[#This Row],[Complexidade]],Auxiliar!$D$4:$F$4,0))</f>
        <v>0.5</v>
      </c>
      <c r="P1005" s="2" t="s">
        <v>1329</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1296</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1257</v>
      </c>
      <c r="L1006" s="21" t="s">
        <v>1252</v>
      </c>
      <c r="M1006" s="21" t="s">
        <v>1254</v>
      </c>
      <c r="N1006" s="48">
        <v>45546</v>
      </c>
      <c r="O1006" s="21">
        <f>INDEX(Auxiliar!$D$5:$F$13,MATCH(Table1[[#This Row],[Tipologia_Testes]],Auxiliar!$B$5:$B$13,0),MATCH(Table1[[#This Row],[Complexidade]],Auxiliar!$D$4:$F$4,0))</f>
        <v>0.5</v>
      </c>
      <c r="P1006" s="2" t="s">
        <v>1329</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1296</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1257</v>
      </c>
      <c r="L1007" s="2" t="s">
        <v>1244</v>
      </c>
      <c r="M1007" s="21" t="s">
        <v>1254</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1296</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1257</v>
      </c>
      <c r="L1008" s="2" t="s">
        <v>650</v>
      </c>
      <c r="M1008" s="21" t="s">
        <v>1254</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1296</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1249</v>
      </c>
      <c r="L1009" s="21" t="s">
        <v>1252</v>
      </c>
      <c r="M1009" s="21" t="s">
        <v>1254</v>
      </c>
      <c r="N1009" s="48">
        <v>45546</v>
      </c>
      <c r="O1009" s="21">
        <f>INDEX(Auxiliar!$D$5:$F$13,MATCH(Table1[[#This Row],[Tipologia_Testes]],Auxiliar!$B$5:$B$13,0),MATCH(Table1[[#This Row],[Complexidade]],Auxiliar!$D$4:$F$4,0))</f>
        <v>0.1</v>
      </c>
      <c r="P1009" s="2" t="s">
        <v>1330</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1296</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1257</v>
      </c>
      <c r="L1010" s="21" t="s">
        <v>1252</v>
      </c>
      <c r="M1010" s="21" t="s">
        <v>1254</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1296</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1249</v>
      </c>
      <c r="L1011" s="21" t="s">
        <v>1252</v>
      </c>
      <c r="M1011" s="21" t="s">
        <v>1254</v>
      </c>
      <c r="N1011" s="48">
        <v>45546</v>
      </c>
      <c r="O1011" s="21">
        <f>INDEX(Auxiliar!$D$5:$F$13,MATCH(Table1[[#This Row],[Tipologia_Testes]],Auxiliar!$B$5:$B$13,0),MATCH(Table1[[#This Row],[Complexidade]],Auxiliar!$D$4:$F$4,0))</f>
        <v>0.1</v>
      </c>
      <c r="P1011" s="2" t="s">
        <v>1330</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1296</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1257</v>
      </c>
      <c r="L1012" s="21" t="s">
        <v>1252</v>
      </c>
      <c r="M1012" s="21" t="s">
        <v>1254</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1296</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1257</v>
      </c>
      <c r="L1013" s="21" t="s">
        <v>1252</v>
      </c>
      <c r="M1013" s="21" t="s">
        <v>1254</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1331</v>
      </c>
      <c r="F1014" s="40" t="s">
        <v>336</v>
      </c>
      <c r="G1014" s="38" t="s">
        <v>337</v>
      </c>
      <c r="H1014" s="60" t="str">
        <f>Table1[[#This Row],[Tabela]]&amp;Table1[[#This Row],[Campo]]</f>
        <v>lt003_entitynace_esg</v>
      </c>
      <c r="I1014" s="2" t="s">
        <v>614</v>
      </c>
      <c r="J1014" s="45">
        <f>VLOOKUP(Table1[[#This Row],[Status]],Auxiliar!$B$16:$C$24,2,0)</f>
        <v>4</v>
      </c>
      <c r="K1014" s="45" t="s">
        <v>1246</v>
      </c>
      <c r="L1014" s="46" t="s">
        <v>1252</v>
      </c>
      <c r="M1014" s="21" t="s">
        <v>1253</v>
      </c>
      <c r="N1014" s="48">
        <v>45667</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0.5</v>
      </c>
      <c r="X1014" s="114"/>
    </row>
    <row r="1015" spans="2:24" ht="34.950000000000003" hidden="1" customHeight="1">
      <c r="B1015" s="39" t="s">
        <v>26</v>
      </c>
      <c r="C1015" s="39" t="s">
        <v>26</v>
      </c>
      <c r="D1015" s="36" t="s">
        <v>338</v>
      </c>
      <c r="E1015" s="111" t="s">
        <v>1331</v>
      </c>
      <c r="F1015" s="40" t="s">
        <v>336</v>
      </c>
      <c r="G1015" s="38" t="s">
        <v>337</v>
      </c>
      <c r="H1015" s="60" t="str">
        <f>Table1[[#This Row],[Tabela]]&amp;Table1[[#This Row],[Campo]]</f>
        <v>lt003_entitynace_esg</v>
      </c>
      <c r="I1015" s="2" t="s">
        <v>614</v>
      </c>
      <c r="J1015" s="45">
        <f>VLOOKUP(Table1[[#This Row],[Status]],Auxiliar!$B$16:$C$24,2,0)</f>
        <v>4</v>
      </c>
      <c r="K1015" s="45" t="s">
        <v>1247</v>
      </c>
      <c r="L1015" s="46" t="s">
        <v>1252</v>
      </c>
      <c r="M1015" s="21" t="s">
        <v>1253</v>
      </c>
      <c r="N1015" s="48">
        <v>45667</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0.5</v>
      </c>
      <c r="X1015" s="114"/>
    </row>
    <row r="1016" spans="2:24" ht="34.950000000000003" hidden="1" customHeight="1">
      <c r="B1016" s="39" t="s">
        <v>26</v>
      </c>
      <c r="C1016" s="39" t="s">
        <v>26</v>
      </c>
      <c r="D1016" s="36" t="s">
        <v>338</v>
      </c>
      <c r="E1016" s="111" t="s">
        <v>1331</v>
      </c>
      <c r="F1016" s="40" t="s">
        <v>336</v>
      </c>
      <c r="G1016" s="38" t="s">
        <v>337</v>
      </c>
      <c r="H1016" s="60" t="str">
        <f>Table1[[#This Row],[Tabela]]&amp;Table1[[#This Row],[Campo]]</f>
        <v>lt003_entitynace_esg</v>
      </c>
      <c r="I1016" s="2" t="s">
        <v>614</v>
      </c>
      <c r="J1016" s="45">
        <f>VLOOKUP(Table1[[#This Row],[Status]],Auxiliar!$B$16:$C$24,2,0)</f>
        <v>4</v>
      </c>
      <c r="K1016" s="45" t="s">
        <v>1249</v>
      </c>
      <c r="L1016" s="46" t="s">
        <v>1252</v>
      </c>
      <c r="M1016" s="21" t="s">
        <v>1253</v>
      </c>
      <c r="N1016" s="48">
        <v>45667</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2.5000000000000001E-2</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1246</v>
      </c>
      <c r="L1017" s="46" t="s">
        <v>1252</v>
      </c>
      <c r="M1017" s="21" t="s">
        <v>1253</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1247</v>
      </c>
      <c r="L1018" s="46" t="s">
        <v>1252</v>
      </c>
      <c r="M1018" s="21" t="s">
        <v>1253</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1249</v>
      </c>
      <c r="L1019" s="46" t="s">
        <v>1252</v>
      </c>
      <c r="M1019" s="21" t="s">
        <v>1253</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1246</v>
      </c>
      <c r="L1020" s="46" t="s">
        <v>1252</v>
      </c>
      <c r="M1020" s="21" t="s">
        <v>1253</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1247</v>
      </c>
      <c r="L1021" s="46" t="s">
        <v>1252</v>
      </c>
      <c r="M1021" s="21" t="s">
        <v>1253</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1249</v>
      </c>
      <c r="L1022" s="46" t="s">
        <v>1252</v>
      </c>
      <c r="M1022" s="21" t="s">
        <v>1253</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1246</v>
      </c>
      <c r="L1023" s="46" t="s">
        <v>1252</v>
      </c>
      <c r="M1023" s="21" t="s">
        <v>1253</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1247</v>
      </c>
      <c r="L1024" s="46" t="s">
        <v>1252</v>
      </c>
      <c r="M1024" s="21" t="s">
        <v>1253</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1249</v>
      </c>
      <c r="L1025" s="46" t="s">
        <v>1252</v>
      </c>
      <c r="M1025" s="21" t="s">
        <v>1253</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1246</v>
      </c>
      <c r="L1026" s="46" t="s">
        <v>1252</v>
      </c>
      <c r="M1026" s="21" t="s">
        <v>1253</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1247</v>
      </c>
      <c r="L1027" s="46" t="s">
        <v>1252</v>
      </c>
      <c r="M1027" s="21" t="s">
        <v>1253</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1249</v>
      </c>
      <c r="L1028" s="46" t="s">
        <v>1252</v>
      </c>
      <c r="M1028" s="21" t="s">
        <v>1253</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1246</v>
      </c>
      <c r="L1029" s="46" t="s">
        <v>1252</v>
      </c>
      <c r="M1029" s="21" t="s">
        <v>1253</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1247</v>
      </c>
      <c r="L1030" s="46" t="s">
        <v>1252</v>
      </c>
      <c r="M1030" s="21" t="s">
        <v>1253</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1249</v>
      </c>
      <c r="L1031" s="46" t="s">
        <v>1252</v>
      </c>
      <c r="M1031" s="21" t="s">
        <v>1253</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1246</v>
      </c>
      <c r="L1032" s="46" t="s">
        <v>1252</v>
      </c>
      <c r="M1032" s="21" t="s">
        <v>1253</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1247</v>
      </c>
      <c r="L1033" s="46" t="s">
        <v>1252</v>
      </c>
      <c r="M1033" s="21" t="s">
        <v>1253</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1249</v>
      </c>
      <c r="L1034" s="46" t="s">
        <v>1252</v>
      </c>
      <c r="M1034" s="21" t="s">
        <v>1253</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1246</v>
      </c>
      <c r="L1035" s="46" t="s">
        <v>1252</v>
      </c>
      <c r="M1035" s="21" t="s">
        <v>1253</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1247</v>
      </c>
      <c r="L1036" s="46" t="s">
        <v>1252</v>
      </c>
      <c r="M1036" s="21" t="s">
        <v>1253</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1249</v>
      </c>
      <c r="L1037" s="46" t="s">
        <v>1252</v>
      </c>
      <c r="M1037" s="21" t="s">
        <v>1253</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1246</v>
      </c>
      <c r="L1038" s="46" t="s">
        <v>1252</v>
      </c>
      <c r="M1038" s="21" t="s">
        <v>1253</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1247</v>
      </c>
      <c r="L1039" s="46" t="s">
        <v>1252</v>
      </c>
      <c r="M1039" s="21" t="s">
        <v>1253</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1249</v>
      </c>
      <c r="L1040" s="46" t="s">
        <v>1252</v>
      </c>
      <c r="M1040" s="21" t="s">
        <v>1253</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613</v>
      </c>
      <c r="J1041" s="45">
        <f>VLOOKUP(Table1[[#This Row],[Status]],Auxiliar!$B$16:$C$24,2,0)</f>
        <v>1</v>
      </c>
      <c r="K1041" s="45" t="s">
        <v>1246</v>
      </c>
      <c r="L1041" s="46" t="s">
        <v>1252</v>
      </c>
      <c r="M1041" s="21" t="s">
        <v>1253</v>
      </c>
      <c r="N1041" s="48">
        <v>45632</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2</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613</v>
      </c>
      <c r="J1042" s="45">
        <f>VLOOKUP(Table1[[#This Row],[Status]],Auxiliar!$B$16:$C$24,2,0)</f>
        <v>1</v>
      </c>
      <c r="K1042" s="45" t="s">
        <v>1247</v>
      </c>
      <c r="L1042" s="46" t="s">
        <v>1252</v>
      </c>
      <c r="M1042" s="21" t="s">
        <v>1253</v>
      </c>
      <c r="N1042" s="48">
        <v>45632</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2</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613</v>
      </c>
      <c r="J1043" s="45">
        <f>VLOOKUP(Table1[[#This Row],[Status]],Auxiliar!$B$16:$C$24,2,0)</f>
        <v>1</v>
      </c>
      <c r="K1043" s="45" t="s">
        <v>1249</v>
      </c>
      <c r="L1043" s="46" t="s">
        <v>1252</v>
      </c>
      <c r="M1043" s="21" t="s">
        <v>1253</v>
      </c>
      <c r="N1043" s="48">
        <v>45632</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0.1</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1246</v>
      </c>
      <c r="L1044" s="46" t="s">
        <v>1252</v>
      </c>
      <c r="M1044" s="21" t="s">
        <v>1253</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1247</v>
      </c>
      <c r="L1045" s="46" t="s">
        <v>1252</v>
      </c>
      <c r="M1045" s="21" t="s">
        <v>1253</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1249</v>
      </c>
      <c r="L1046" s="46" t="s">
        <v>1252</v>
      </c>
      <c r="M1046" s="21" t="s">
        <v>1253</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1246</v>
      </c>
      <c r="L1047" s="46" t="s">
        <v>1252</v>
      </c>
      <c r="M1047" s="21" t="s">
        <v>1253</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1247</v>
      </c>
      <c r="L1048" s="46" t="s">
        <v>1252</v>
      </c>
      <c r="M1048" s="21" t="s">
        <v>1253</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1249</v>
      </c>
      <c r="L1049" s="46" t="s">
        <v>1252</v>
      </c>
      <c r="M1049" s="21" t="s">
        <v>1253</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1246</v>
      </c>
      <c r="L1050" s="46" t="s">
        <v>1252</v>
      </c>
      <c r="M1050" s="21" t="s">
        <v>1253</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1247</v>
      </c>
      <c r="L1051" s="46" t="s">
        <v>1252</v>
      </c>
      <c r="M1051" s="21" t="s">
        <v>1253</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1249</v>
      </c>
      <c r="L1052" s="46" t="s">
        <v>1252</v>
      </c>
      <c r="M1052" s="21" t="s">
        <v>1253</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1246</v>
      </c>
      <c r="L1053" s="46" t="s">
        <v>1252</v>
      </c>
      <c r="M1053" s="21" t="s">
        <v>1253</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1247</v>
      </c>
      <c r="L1054" s="46" t="s">
        <v>1252</v>
      </c>
      <c r="M1054" s="21" t="s">
        <v>1253</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1249</v>
      </c>
      <c r="L1055" s="46" t="s">
        <v>1252</v>
      </c>
      <c r="M1055" s="21" t="s">
        <v>1253</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1246</v>
      </c>
      <c r="L1056" s="46" t="s">
        <v>1252</v>
      </c>
      <c r="M1056" s="21" t="s">
        <v>1253</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1247</v>
      </c>
      <c r="L1057" s="46" t="s">
        <v>1252</v>
      </c>
      <c r="M1057" s="21" t="s">
        <v>1253</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1249</v>
      </c>
      <c r="L1058" s="46" t="s">
        <v>1252</v>
      </c>
      <c r="M1058" s="21" t="s">
        <v>1253</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1331</v>
      </c>
      <c r="F1059" s="40" t="s">
        <v>336</v>
      </c>
      <c r="G1059" s="38" t="s">
        <v>353</v>
      </c>
      <c r="H1059" s="60" t="str">
        <f>Table1[[#This Row],[Tabela]]&amp;Table1[[#This Row],[Campo]]</f>
        <v>lt003_entityflg_nfrd_applcblty</v>
      </c>
      <c r="I1059" s="2" t="s">
        <v>613</v>
      </c>
      <c r="J1059" s="45">
        <f>VLOOKUP(Table1[[#This Row],[Status]],Auxiliar!$B$16:$C$24,2,0)</f>
        <v>1</v>
      </c>
      <c r="K1059" s="45" t="s">
        <v>1246</v>
      </c>
      <c r="L1059" s="46" t="s">
        <v>1252</v>
      </c>
      <c r="M1059" s="21" t="s">
        <v>1253</v>
      </c>
      <c r="N1059" s="48">
        <v>45632</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2</v>
      </c>
      <c r="X1059" s="114"/>
    </row>
    <row r="1060" spans="2:24" ht="17.7" hidden="1" customHeight="1">
      <c r="B1060" s="39" t="s">
        <v>26</v>
      </c>
      <c r="C1060" s="39" t="s">
        <v>26</v>
      </c>
      <c r="D1060" s="39" t="s">
        <v>326</v>
      </c>
      <c r="E1060" s="39" t="s">
        <v>1331</v>
      </c>
      <c r="F1060" s="39" t="s">
        <v>336</v>
      </c>
      <c r="G1060" s="39" t="s">
        <v>353</v>
      </c>
      <c r="H1060" s="59" t="str">
        <f>Table1[[#This Row],[Tabela]]&amp;Table1[[#This Row],[Campo]]</f>
        <v>lt003_entityflg_nfrd_applcblty</v>
      </c>
      <c r="I1060" s="2" t="s">
        <v>613</v>
      </c>
      <c r="J1060" s="45">
        <f>VLOOKUP(Table1[[#This Row],[Status]],Auxiliar!$B$16:$C$24,2,0)</f>
        <v>1</v>
      </c>
      <c r="K1060" s="45" t="s">
        <v>1247</v>
      </c>
      <c r="L1060" s="46" t="s">
        <v>1252</v>
      </c>
      <c r="M1060" s="21" t="s">
        <v>1253</v>
      </c>
      <c r="N1060" s="48">
        <v>45632</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2</v>
      </c>
      <c r="X1060" s="114"/>
    </row>
    <row r="1061" spans="2:24" ht="17.7" hidden="1" customHeight="1">
      <c r="B1061" s="39" t="s">
        <v>26</v>
      </c>
      <c r="C1061" s="39" t="s">
        <v>26</v>
      </c>
      <c r="D1061" s="39" t="s">
        <v>326</v>
      </c>
      <c r="E1061" s="39" t="s">
        <v>1331</v>
      </c>
      <c r="F1061" s="39" t="s">
        <v>336</v>
      </c>
      <c r="G1061" s="39" t="s">
        <v>353</v>
      </c>
      <c r="H1061" s="59" t="str">
        <f>Table1[[#This Row],[Tabela]]&amp;Table1[[#This Row],[Campo]]</f>
        <v>lt003_entityflg_nfrd_applcblty</v>
      </c>
      <c r="I1061" s="2" t="s">
        <v>613</v>
      </c>
      <c r="J1061" s="45">
        <f>VLOOKUP(Table1[[#This Row],[Status]],Auxiliar!$B$16:$C$24,2,0)</f>
        <v>1</v>
      </c>
      <c r="K1061" s="45" t="s">
        <v>1249</v>
      </c>
      <c r="L1061" s="46" t="s">
        <v>1252</v>
      </c>
      <c r="M1061" s="21" t="s">
        <v>1253</v>
      </c>
      <c r="N1061" s="48">
        <v>45632</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0.1</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614</v>
      </c>
      <c r="J1062" s="45">
        <f>VLOOKUP(Table1[[#This Row],[Status]],Auxiliar!$B$16:$C$24,2,0)</f>
        <v>4</v>
      </c>
      <c r="K1062" s="45" t="s">
        <v>1246</v>
      </c>
      <c r="L1062" s="46" t="s">
        <v>1252</v>
      </c>
      <c r="M1062" s="21" t="s">
        <v>1253</v>
      </c>
      <c r="N1062" s="48">
        <v>45667</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0.5</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614</v>
      </c>
      <c r="J1063" s="45">
        <f>VLOOKUP(Table1[[#This Row],[Status]],Auxiliar!$B$16:$C$24,2,0)</f>
        <v>4</v>
      </c>
      <c r="K1063" s="45" t="s">
        <v>1247</v>
      </c>
      <c r="L1063" s="46" t="s">
        <v>1252</v>
      </c>
      <c r="M1063" s="21" t="s">
        <v>1253</v>
      </c>
      <c r="N1063" s="48">
        <v>45667</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0.5</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614</v>
      </c>
      <c r="J1064" s="45">
        <f>VLOOKUP(Table1[[#This Row],[Status]],Auxiliar!$B$16:$C$24,2,0)</f>
        <v>4</v>
      </c>
      <c r="K1064" s="45" t="s">
        <v>1249</v>
      </c>
      <c r="L1064" s="46" t="s">
        <v>1252</v>
      </c>
      <c r="M1064" s="21" t="s">
        <v>1253</v>
      </c>
      <c r="N1064" s="48">
        <v>45667</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2.5000000000000001E-2</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614</v>
      </c>
      <c r="J1065" s="45">
        <f>VLOOKUP(Table1[[#This Row],[Status]],Auxiliar!$B$16:$C$24,2,0)</f>
        <v>4</v>
      </c>
      <c r="K1065" s="45" t="s">
        <v>1246</v>
      </c>
      <c r="L1065" s="46" t="s">
        <v>1252</v>
      </c>
      <c r="M1065" s="21" t="s">
        <v>1253</v>
      </c>
      <c r="N1065" s="48">
        <v>45667</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0.5</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614</v>
      </c>
      <c r="J1066" s="45">
        <f>VLOOKUP(Table1[[#This Row],[Status]],Auxiliar!$B$16:$C$24,2,0)</f>
        <v>4</v>
      </c>
      <c r="K1066" s="45" t="s">
        <v>1247</v>
      </c>
      <c r="L1066" s="46" t="s">
        <v>1252</v>
      </c>
      <c r="M1066" s="21" t="s">
        <v>1253</v>
      </c>
      <c r="N1066" s="48">
        <v>45667</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0.5</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614</v>
      </c>
      <c r="J1067" s="45">
        <f>VLOOKUP(Table1[[#This Row],[Status]],Auxiliar!$B$16:$C$24,2,0)</f>
        <v>4</v>
      </c>
      <c r="K1067" s="45" t="s">
        <v>1249</v>
      </c>
      <c r="L1067" s="46" t="s">
        <v>1252</v>
      </c>
      <c r="M1067" s="21" t="s">
        <v>1253</v>
      </c>
      <c r="N1067" s="48">
        <v>45667</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2.5000000000000001E-2</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614</v>
      </c>
      <c r="J1068" s="45">
        <f>VLOOKUP(Table1[[#This Row],[Status]],Auxiliar!$B$16:$C$24,2,0)</f>
        <v>4</v>
      </c>
      <c r="K1068" s="45" t="s">
        <v>1246</v>
      </c>
      <c r="L1068" s="46" t="s">
        <v>1252</v>
      </c>
      <c r="M1068" s="21" t="s">
        <v>1253</v>
      </c>
      <c r="N1068" s="48">
        <v>45667</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0.5</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614</v>
      </c>
      <c r="J1069" s="45">
        <f>VLOOKUP(Table1[[#This Row],[Status]],Auxiliar!$B$16:$C$24,2,0)</f>
        <v>4</v>
      </c>
      <c r="K1069" s="45" t="s">
        <v>1247</v>
      </c>
      <c r="L1069" s="46" t="s">
        <v>1252</v>
      </c>
      <c r="M1069" s="21" t="s">
        <v>1253</v>
      </c>
      <c r="N1069" s="48">
        <v>45667</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0.5</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614</v>
      </c>
      <c r="J1070" s="45">
        <f>VLOOKUP(Table1[[#This Row],[Status]],Auxiliar!$B$16:$C$24,2,0)</f>
        <v>4</v>
      </c>
      <c r="K1070" s="45" t="s">
        <v>1249</v>
      </c>
      <c r="L1070" s="46" t="s">
        <v>1252</v>
      </c>
      <c r="M1070" s="21" t="s">
        <v>1253</v>
      </c>
      <c r="N1070" s="48">
        <v>45667</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2.5000000000000001E-2</v>
      </c>
      <c r="X1070" s="114"/>
    </row>
    <row r="1071" spans="2:24" ht="34.950000000000003" hidden="1" customHeight="1">
      <c r="B1071" s="41" t="s">
        <v>26</v>
      </c>
      <c r="C1071" s="41" t="s">
        <v>26</v>
      </c>
      <c r="D1071" s="36" t="s">
        <v>326</v>
      </c>
      <c r="E1071" s="111" t="s">
        <v>1331</v>
      </c>
      <c r="F1071" s="40" t="s">
        <v>336</v>
      </c>
      <c r="G1071" s="38" t="s">
        <v>357</v>
      </c>
      <c r="H1071" s="60" t="str">
        <f>Table1[[#This Row],[Tabela]]&amp;Table1[[#This Row],[Campo]]</f>
        <v>lt003_entityflg_excldd_eu_prs_algnd_bnchmrk</v>
      </c>
      <c r="I1071" s="2" t="s">
        <v>613</v>
      </c>
      <c r="J1071" s="45">
        <f>VLOOKUP(Table1[[#This Row],[Status]],Auxiliar!$B$16:$C$24,2,0)</f>
        <v>1</v>
      </c>
      <c r="K1071" s="45" t="s">
        <v>1246</v>
      </c>
      <c r="L1071" s="46" t="s">
        <v>1252</v>
      </c>
      <c r="M1071" s="21" t="s">
        <v>1253</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hidden="1" customHeight="1">
      <c r="B1072" s="39" t="s">
        <v>26</v>
      </c>
      <c r="C1072" s="39" t="s">
        <v>26</v>
      </c>
      <c r="D1072" s="39" t="s">
        <v>326</v>
      </c>
      <c r="E1072" s="39" t="s">
        <v>1331</v>
      </c>
      <c r="F1072" s="39" t="s">
        <v>336</v>
      </c>
      <c r="G1072" s="39" t="s">
        <v>357</v>
      </c>
      <c r="H1072" s="59" t="str">
        <f>Table1[[#This Row],[Tabela]]&amp;Table1[[#This Row],[Campo]]</f>
        <v>lt003_entityflg_excldd_eu_prs_algnd_bnchmrk</v>
      </c>
      <c r="I1072" s="2" t="s">
        <v>613</v>
      </c>
      <c r="J1072" s="45">
        <f>VLOOKUP(Table1[[#This Row],[Status]],Auxiliar!$B$16:$C$24,2,0)</f>
        <v>1</v>
      </c>
      <c r="K1072" s="45" t="s">
        <v>1247</v>
      </c>
      <c r="L1072" s="46" t="s">
        <v>1252</v>
      </c>
      <c r="M1072" s="21" t="s">
        <v>1253</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hidden="1" customHeight="1">
      <c r="B1073" s="39" t="s">
        <v>26</v>
      </c>
      <c r="C1073" s="39" t="s">
        <v>26</v>
      </c>
      <c r="D1073" s="39" t="s">
        <v>326</v>
      </c>
      <c r="E1073" s="39" t="s">
        <v>1331</v>
      </c>
      <c r="F1073" s="39" t="s">
        <v>336</v>
      </c>
      <c r="G1073" s="39" t="s">
        <v>357</v>
      </c>
      <c r="H1073" s="59" t="str">
        <f>Table1[[#This Row],[Tabela]]&amp;Table1[[#This Row],[Campo]]</f>
        <v>lt003_entityflg_excldd_eu_prs_algnd_bnchmrk</v>
      </c>
      <c r="I1073" s="2" t="s">
        <v>613</v>
      </c>
      <c r="J1073" s="45">
        <f>VLOOKUP(Table1[[#This Row],[Status]],Auxiliar!$B$16:$C$24,2,0)</f>
        <v>1</v>
      </c>
      <c r="K1073" s="45" t="s">
        <v>1249</v>
      </c>
      <c r="L1073" s="46" t="s">
        <v>1252</v>
      </c>
      <c r="M1073" s="21" t="s">
        <v>1253</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1331</v>
      </c>
      <c r="F1074" s="40" t="s">
        <v>336</v>
      </c>
      <c r="G1074" s="38" t="s">
        <v>358</v>
      </c>
      <c r="H1074" s="60" t="str">
        <f>Table1[[#This Row],[Tabela]]&amp;Table1[[#This Row],[Campo]]</f>
        <v>lt003_entityflg_act_physcl_rsk</v>
      </c>
      <c r="I1074" s="2" t="s">
        <v>613</v>
      </c>
      <c r="J1074" s="45">
        <f>VLOOKUP(Table1[[#This Row],[Status]],Auxiliar!$B$16:$C$24,2,0)</f>
        <v>1</v>
      </c>
      <c r="K1074" s="45" t="s">
        <v>1246</v>
      </c>
      <c r="L1074" s="46" t="s">
        <v>1252</v>
      </c>
      <c r="M1074" s="21" t="s">
        <v>1253</v>
      </c>
      <c r="N1074" s="48">
        <v>45642</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2</v>
      </c>
      <c r="X1074" s="114"/>
    </row>
    <row r="1075" spans="2:24" ht="17.7" hidden="1" customHeight="1">
      <c r="B1075" s="39" t="s">
        <v>26</v>
      </c>
      <c r="C1075" s="39" t="s">
        <v>26</v>
      </c>
      <c r="D1075" s="39" t="s">
        <v>326</v>
      </c>
      <c r="E1075" s="39" t="s">
        <v>1331</v>
      </c>
      <c r="F1075" s="39" t="s">
        <v>336</v>
      </c>
      <c r="G1075" s="39" t="s">
        <v>358</v>
      </c>
      <c r="H1075" s="59" t="str">
        <f>Table1[[#This Row],[Tabela]]&amp;Table1[[#This Row],[Campo]]</f>
        <v>lt003_entityflg_act_physcl_rsk</v>
      </c>
      <c r="I1075" s="2" t="s">
        <v>613</v>
      </c>
      <c r="J1075" s="45">
        <f>VLOOKUP(Table1[[#This Row],[Status]],Auxiliar!$B$16:$C$24,2,0)</f>
        <v>1</v>
      </c>
      <c r="K1075" s="45" t="s">
        <v>1247</v>
      </c>
      <c r="L1075" s="46" t="s">
        <v>1252</v>
      </c>
      <c r="M1075" s="21" t="s">
        <v>1253</v>
      </c>
      <c r="N1075" s="48">
        <v>45642</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2</v>
      </c>
      <c r="X1075" s="114"/>
    </row>
    <row r="1076" spans="2:24" ht="17.7" hidden="1" customHeight="1">
      <c r="B1076" s="39" t="s">
        <v>26</v>
      </c>
      <c r="C1076" s="39" t="s">
        <v>26</v>
      </c>
      <c r="D1076" s="39" t="s">
        <v>326</v>
      </c>
      <c r="E1076" s="39" t="s">
        <v>1331</v>
      </c>
      <c r="F1076" s="39" t="s">
        <v>336</v>
      </c>
      <c r="G1076" s="39" t="s">
        <v>358</v>
      </c>
      <c r="H1076" s="59" t="str">
        <f>Table1[[#This Row],[Tabela]]&amp;Table1[[#This Row],[Campo]]</f>
        <v>lt003_entityflg_act_physcl_rsk</v>
      </c>
      <c r="I1076" s="2" t="s">
        <v>613</v>
      </c>
      <c r="J1076" s="45">
        <f>VLOOKUP(Table1[[#This Row],[Status]],Auxiliar!$B$16:$C$24,2,0)</f>
        <v>1</v>
      </c>
      <c r="K1076" s="45" t="s">
        <v>1249</v>
      </c>
      <c r="L1076" s="46" t="s">
        <v>1252</v>
      </c>
      <c r="M1076" s="21" t="s">
        <v>1253</v>
      </c>
      <c r="N1076" s="48">
        <v>45642</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0.1</v>
      </c>
      <c r="X1076" s="114"/>
    </row>
    <row r="1077" spans="2:24" ht="34.950000000000003" hidden="1" customHeight="1">
      <c r="B1077" s="41" t="s">
        <v>26</v>
      </c>
      <c r="C1077" s="41" t="s">
        <v>26</v>
      </c>
      <c r="D1077" s="36" t="s">
        <v>326</v>
      </c>
      <c r="E1077" s="40" t="s">
        <v>1331</v>
      </c>
      <c r="F1077" s="40" t="s">
        <v>336</v>
      </c>
      <c r="G1077" s="38" t="s">
        <v>359</v>
      </c>
      <c r="H1077" s="60" t="str">
        <f>Table1[[#This Row],[Tabela]]&amp;Table1[[#This Row],[Campo]]</f>
        <v>lt003_entityflg_chrnc_physcl_rsk</v>
      </c>
      <c r="I1077" s="2" t="s">
        <v>613</v>
      </c>
      <c r="J1077" s="45">
        <f>VLOOKUP(Table1[[#This Row],[Status]],Auxiliar!$B$16:$C$24,2,0)</f>
        <v>1</v>
      </c>
      <c r="K1077" s="45" t="s">
        <v>1246</v>
      </c>
      <c r="L1077" s="46" t="s">
        <v>1252</v>
      </c>
      <c r="M1077" s="21" t="s">
        <v>1253</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c r="B1078" s="39" t="s">
        <v>26</v>
      </c>
      <c r="C1078" s="39" t="s">
        <v>26</v>
      </c>
      <c r="D1078" s="39" t="s">
        <v>326</v>
      </c>
      <c r="E1078" s="39" t="s">
        <v>1331</v>
      </c>
      <c r="F1078" s="39" t="s">
        <v>336</v>
      </c>
      <c r="G1078" s="39" t="s">
        <v>359</v>
      </c>
      <c r="H1078" s="59" t="str">
        <f>Table1[[#This Row],[Tabela]]&amp;Table1[[#This Row],[Campo]]</f>
        <v>lt003_entityflg_chrnc_physcl_rsk</v>
      </c>
      <c r="I1078" s="2" t="s">
        <v>613</v>
      </c>
      <c r="J1078" s="45">
        <f>VLOOKUP(Table1[[#This Row],[Status]],Auxiliar!$B$16:$C$24,2,0)</f>
        <v>1</v>
      </c>
      <c r="K1078" s="45" t="s">
        <v>1247</v>
      </c>
      <c r="L1078" s="46" t="s">
        <v>1252</v>
      </c>
      <c r="M1078" s="21" t="s">
        <v>1253</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c r="B1079" s="39" t="s">
        <v>26</v>
      </c>
      <c r="C1079" s="39" t="s">
        <v>26</v>
      </c>
      <c r="D1079" s="39" t="s">
        <v>326</v>
      </c>
      <c r="E1079" s="39" t="s">
        <v>1331</v>
      </c>
      <c r="F1079" s="39" t="s">
        <v>336</v>
      </c>
      <c r="G1079" s="39" t="s">
        <v>359</v>
      </c>
      <c r="H1079" s="59" t="str">
        <f>Table1[[#This Row],[Tabela]]&amp;Table1[[#This Row],[Campo]]</f>
        <v>lt003_entityflg_chrnc_physcl_rsk</v>
      </c>
      <c r="I1079" s="2" t="s">
        <v>613</v>
      </c>
      <c r="J1079" s="45">
        <f>VLOOKUP(Table1[[#This Row],[Status]],Auxiliar!$B$16:$C$24,2,0)</f>
        <v>1</v>
      </c>
      <c r="K1079" s="45" t="s">
        <v>1249</v>
      </c>
      <c r="L1079" s="46" t="s">
        <v>1252</v>
      </c>
      <c r="M1079" s="21" t="s">
        <v>1253</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17.7" hidden="1" customHeight="1">
      <c r="B1080" s="41" t="s">
        <v>26</v>
      </c>
      <c r="C1080" s="41" t="s">
        <v>26</v>
      </c>
      <c r="D1080" s="42" t="s">
        <v>1333</v>
      </c>
      <c r="E1080" s="111" t="s">
        <v>1334</v>
      </c>
      <c r="F1080" s="40" t="s">
        <v>336</v>
      </c>
      <c r="G1080" s="38" t="s">
        <v>360</v>
      </c>
      <c r="H1080" s="60" t="str">
        <f>Table1[[#This Row],[Tabela]]&amp;Table1[[#This Row],[Campo]]</f>
        <v>lt003_entitypst_cd</v>
      </c>
      <c r="I1080" s="2" t="s">
        <v>613</v>
      </c>
      <c r="J1080" s="45">
        <f>VLOOKUP(Table1[[#This Row],[Status]],Auxiliar!$B$16:$C$24,2,0)</f>
        <v>1</v>
      </c>
      <c r="K1080" s="45" t="s">
        <v>1246</v>
      </c>
      <c r="L1080" s="46" t="s">
        <v>1252</v>
      </c>
      <c r="M1080" s="21" t="s">
        <v>1253</v>
      </c>
      <c r="N1080" s="48">
        <v>45604</v>
      </c>
      <c r="O1080" s="21">
        <f>INDEX(Auxiliar!$D$5:$F$13,MATCH(Table1[[#This Row],[Tipologia_Testes]],Auxiliar!$B$5:$B$13,0),MATCH(Table1[[#This Row],[Complexidade]],Auxiliar!$D$4:$F$4,0))</f>
        <v>2</v>
      </c>
      <c r="P1080" s="43" t="s">
        <v>1335</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1333</v>
      </c>
      <c r="E1081" s="39" t="s">
        <v>1334</v>
      </c>
      <c r="F1081" s="39" t="s">
        <v>336</v>
      </c>
      <c r="G1081" s="39" t="s">
        <v>360</v>
      </c>
      <c r="H1081" s="59" t="str">
        <f>Table1[[#This Row],[Tabela]]&amp;Table1[[#This Row],[Campo]]</f>
        <v>lt003_entitypst_cd</v>
      </c>
      <c r="I1081" s="2" t="s">
        <v>613</v>
      </c>
      <c r="J1081" s="45">
        <f>VLOOKUP(Table1[[#This Row],[Status]],Auxiliar!$B$16:$C$24,2,0)</f>
        <v>1</v>
      </c>
      <c r="K1081" s="45" t="s">
        <v>1247</v>
      </c>
      <c r="L1081" s="46" t="s">
        <v>1252</v>
      </c>
      <c r="M1081" s="21" t="s">
        <v>1253</v>
      </c>
      <c r="N1081" s="48">
        <v>45604</v>
      </c>
      <c r="O1081" s="21">
        <f>INDEX(Auxiliar!$D$5:$F$13,MATCH(Table1[[#This Row],[Tipologia_Testes]],Auxiliar!$B$5:$B$13,0),MATCH(Table1[[#This Row],[Complexidade]],Auxiliar!$D$4:$F$4,0))</f>
        <v>2</v>
      </c>
      <c r="P1081" s="43" t="s">
        <v>1335</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1333</v>
      </c>
      <c r="E1082" s="39" t="s">
        <v>1334</v>
      </c>
      <c r="F1082" s="39" t="s">
        <v>336</v>
      </c>
      <c r="G1082" s="39" t="s">
        <v>360</v>
      </c>
      <c r="H1082" s="59" t="str">
        <f>Table1[[#This Row],[Tabela]]&amp;Table1[[#This Row],[Campo]]</f>
        <v>lt003_entitypst_cd</v>
      </c>
      <c r="I1082" s="2" t="s">
        <v>613</v>
      </c>
      <c r="J1082" s="45">
        <f>VLOOKUP(Table1[[#This Row],[Status]],Auxiliar!$B$16:$C$24,2,0)</f>
        <v>1</v>
      </c>
      <c r="K1082" s="45" t="s">
        <v>1249</v>
      </c>
      <c r="L1082" s="46" t="s">
        <v>1252</v>
      </c>
      <c r="M1082" s="21" t="s">
        <v>1253</v>
      </c>
      <c r="N1082" s="48">
        <v>45604</v>
      </c>
      <c r="O1082" s="21">
        <f>INDEX(Auxiliar!$D$5:$F$13,MATCH(Table1[[#This Row],[Tipologia_Testes]],Auxiliar!$B$5:$B$13,0),MATCH(Table1[[#This Row],[Complexidade]],Auxiliar!$D$4:$F$4,0))</f>
        <v>0.1</v>
      </c>
      <c r="P1082" s="43" t="s">
        <v>1335</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613</v>
      </c>
      <c r="J1083" s="45">
        <f>VLOOKUP(Table1[[#This Row],[Status]],Auxiliar!$B$16:$C$24,2,0)</f>
        <v>1</v>
      </c>
      <c r="K1083" s="45" t="s">
        <v>1246</v>
      </c>
      <c r="L1083" s="46" t="s">
        <v>1252</v>
      </c>
      <c r="M1083" s="21" t="s">
        <v>1253</v>
      </c>
      <c r="N1083" s="48">
        <v>45649</v>
      </c>
      <c r="O1083" s="21">
        <f>INDEX(Auxiliar!$D$5:$F$13,MATCH(Table1[[#This Row],[Tipologia_Testes]],Auxiliar!$B$5:$B$13,0),MATCH(Table1[[#This Row],[Complexidade]],Auxiliar!$D$4:$F$4,0))</f>
        <v>2</v>
      </c>
      <c r="P1083" s="43" t="s">
        <v>1332</v>
      </c>
      <c r="Q1083" s="114"/>
      <c r="R1083" s="152">
        <v>45583</v>
      </c>
      <c r="S1083" s="152"/>
      <c r="T1083" s="152">
        <v>45583</v>
      </c>
      <c r="U1083" s="152">
        <v>45611</v>
      </c>
      <c r="V1083" s="152">
        <v>45644</v>
      </c>
      <c r="W1083" s="2">
        <f>VLOOKUP(Table1[[#This Row],[Status]],Auxiliar!$B$16:$D$24,3,0)*Table1[[#This Row],[Estimação (horas)]]</f>
        <v>2</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613</v>
      </c>
      <c r="J1084" s="45">
        <f>VLOOKUP(Table1[[#This Row],[Status]],Auxiliar!$B$16:$C$24,2,0)</f>
        <v>1</v>
      </c>
      <c r="K1084" s="45" t="s">
        <v>1247</v>
      </c>
      <c r="L1084" s="46" t="s">
        <v>1252</v>
      </c>
      <c r="M1084" s="21" t="s">
        <v>1253</v>
      </c>
      <c r="N1084" s="48">
        <v>45649</v>
      </c>
      <c r="O1084" s="21">
        <f>INDEX(Auxiliar!$D$5:$F$13,MATCH(Table1[[#This Row],[Tipologia_Testes]],Auxiliar!$B$5:$B$13,0),MATCH(Table1[[#This Row],[Complexidade]],Auxiliar!$D$4:$F$4,0))</f>
        <v>2</v>
      </c>
      <c r="P1084" s="43" t="s">
        <v>1332</v>
      </c>
      <c r="Q1084" s="114"/>
      <c r="R1084" s="152">
        <v>45583</v>
      </c>
      <c r="S1084" s="152"/>
      <c r="T1084" s="152">
        <v>45583</v>
      </c>
      <c r="U1084" s="152">
        <v>45611</v>
      </c>
      <c r="V1084" s="152">
        <v>45644</v>
      </c>
      <c r="W1084" s="2">
        <f>VLOOKUP(Table1[[#This Row],[Status]],Auxiliar!$B$16:$D$24,3,0)*Table1[[#This Row],[Estimação (horas)]]</f>
        <v>2</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613</v>
      </c>
      <c r="J1085" s="45">
        <f>VLOOKUP(Table1[[#This Row],[Status]],Auxiliar!$B$16:$C$24,2,0)</f>
        <v>1</v>
      </c>
      <c r="K1085" s="45" t="s">
        <v>1249</v>
      </c>
      <c r="L1085" s="46" t="s">
        <v>1252</v>
      </c>
      <c r="M1085" s="21" t="s">
        <v>1253</v>
      </c>
      <c r="N1085" s="48">
        <v>45649</v>
      </c>
      <c r="O1085" s="21">
        <f>INDEX(Auxiliar!$D$5:$F$13,MATCH(Table1[[#This Row],[Tipologia_Testes]],Auxiliar!$B$5:$B$13,0),MATCH(Table1[[#This Row],[Complexidade]],Auxiliar!$D$4:$F$4,0))</f>
        <v>0.1</v>
      </c>
      <c r="P1085" s="43" t="s">
        <v>1332</v>
      </c>
      <c r="Q1085" s="114"/>
      <c r="R1085" s="152">
        <v>45583</v>
      </c>
      <c r="S1085" s="152"/>
      <c r="T1085" s="152">
        <v>45583</v>
      </c>
      <c r="U1085" s="152">
        <v>45611</v>
      </c>
      <c r="V1085" s="152">
        <v>45644</v>
      </c>
      <c r="W1085" s="2">
        <f>VLOOKUP(Table1[[#This Row],[Status]],Auxiliar!$B$16:$D$24,3,0)*Table1[[#This Row],[Estimação (horas)]]</f>
        <v>0.1</v>
      </c>
      <c r="X1085" s="114"/>
    </row>
    <row r="1086" spans="2:24" ht="34.950000000000003" hidden="1" customHeight="1">
      <c r="B1086" s="41" t="s">
        <v>26</v>
      </c>
      <c r="C1086" s="41" t="s">
        <v>26</v>
      </c>
      <c r="D1086" s="37" t="s">
        <v>1336</v>
      </c>
      <c r="E1086" s="111" t="s">
        <v>1337</v>
      </c>
      <c r="F1086" s="40" t="s">
        <v>336</v>
      </c>
      <c r="G1086" s="38" t="s">
        <v>362</v>
      </c>
      <c r="H1086" s="60" t="str">
        <f>Table1[[#This Row],[Tabela]]&amp;Table1[[#This Row],[Campo]]</f>
        <v>lt003_entityttl_lblty</v>
      </c>
      <c r="I1086" s="2" t="s">
        <v>613</v>
      </c>
      <c r="J1086" s="45">
        <f>VLOOKUP(Table1[[#This Row],[Status]],Auxiliar!$B$16:$C$24,2,0)</f>
        <v>1</v>
      </c>
      <c r="K1086" s="45" t="s">
        <v>1246</v>
      </c>
      <c r="L1086" s="46" t="s">
        <v>1252</v>
      </c>
      <c r="M1086" s="21" t="s">
        <v>1253</v>
      </c>
      <c r="N1086" s="48">
        <v>45649</v>
      </c>
      <c r="O1086" s="21">
        <f>INDEX(Auxiliar!$D$5:$F$13,MATCH(Table1[[#This Row],[Tipologia_Testes]],Auxiliar!$B$5:$B$13,0),MATCH(Table1[[#This Row],[Complexidade]],Auxiliar!$D$4:$F$4,0))</f>
        <v>2</v>
      </c>
      <c r="P1086" s="43" t="s">
        <v>1338</v>
      </c>
      <c r="Q1086" s="114"/>
      <c r="R1086" s="152">
        <v>45593</v>
      </c>
      <c r="S1086" s="152"/>
      <c r="T1086" s="152">
        <v>45593</v>
      </c>
      <c r="U1086" s="152">
        <v>45624</v>
      </c>
      <c r="V1086" s="152">
        <v>45644</v>
      </c>
      <c r="W1086" s="2">
        <f>VLOOKUP(Table1[[#This Row],[Status]],Auxiliar!$B$16:$D$24,3,0)*Table1[[#This Row],[Estimação (horas)]]</f>
        <v>2</v>
      </c>
      <c r="X1086" s="114"/>
    </row>
    <row r="1087" spans="2:24" ht="17.7" hidden="1" customHeight="1">
      <c r="B1087" s="39" t="s">
        <v>26</v>
      </c>
      <c r="C1087" s="39" t="s">
        <v>26</v>
      </c>
      <c r="D1087" s="39" t="s">
        <v>1336</v>
      </c>
      <c r="E1087" s="39" t="s">
        <v>1337</v>
      </c>
      <c r="F1087" s="39" t="s">
        <v>336</v>
      </c>
      <c r="G1087" s="39" t="s">
        <v>362</v>
      </c>
      <c r="H1087" s="59" t="str">
        <f>Table1[[#This Row],[Tabela]]&amp;Table1[[#This Row],[Campo]]</f>
        <v>lt003_entityttl_lblty</v>
      </c>
      <c r="I1087" s="2" t="s">
        <v>613</v>
      </c>
      <c r="J1087" s="45">
        <f>VLOOKUP(Table1[[#This Row],[Status]],Auxiliar!$B$16:$C$24,2,0)</f>
        <v>1</v>
      </c>
      <c r="K1087" s="45" t="s">
        <v>1247</v>
      </c>
      <c r="L1087" s="46" t="s">
        <v>1252</v>
      </c>
      <c r="M1087" s="21" t="s">
        <v>1253</v>
      </c>
      <c r="N1087" s="48">
        <v>45649</v>
      </c>
      <c r="O1087" s="21">
        <f>INDEX(Auxiliar!$D$5:$F$13,MATCH(Table1[[#This Row],[Tipologia_Testes]],Auxiliar!$B$5:$B$13,0),MATCH(Table1[[#This Row],[Complexidade]],Auxiliar!$D$4:$F$4,0))</f>
        <v>2</v>
      </c>
      <c r="P1087" s="43" t="s">
        <v>1338</v>
      </c>
      <c r="Q1087" s="114"/>
      <c r="R1087" s="152">
        <v>45593</v>
      </c>
      <c r="S1087" s="152"/>
      <c r="T1087" s="152">
        <v>45593</v>
      </c>
      <c r="U1087" s="152">
        <v>45624</v>
      </c>
      <c r="V1087" s="152">
        <v>45644</v>
      </c>
      <c r="W1087" s="2">
        <f>VLOOKUP(Table1[[#This Row],[Status]],Auxiliar!$B$16:$D$24,3,0)*Table1[[#This Row],[Estimação (horas)]]</f>
        <v>2</v>
      </c>
      <c r="X1087" s="114"/>
    </row>
    <row r="1088" spans="2:24" ht="17.7" hidden="1" customHeight="1">
      <c r="B1088" s="39" t="s">
        <v>26</v>
      </c>
      <c r="C1088" s="39" t="s">
        <v>26</v>
      </c>
      <c r="D1088" s="39" t="s">
        <v>1336</v>
      </c>
      <c r="E1088" s="39" t="s">
        <v>1337</v>
      </c>
      <c r="F1088" s="39" t="s">
        <v>336</v>
      </c>
      <c r="G1088" s="39" t="s">
        <v>362</v>
      </c>
      <c r="H1088" s="59" t="str">
        <f>Table1[[#This Row],[Tabela]]&amp;Table1[[#This Row],[Campo]]</f>
        <v>lt003_entityttl_lblty</v>
      </c>
      <c r="I1088" s="2" t="s">
        <v>613</v>
      </c>
      <c r="J1088" s="45">
        <f>VLOOKUP(Table1[[#This Row],[Status]],Auxiliar!$B$16:$C$24,2,0)</f>
        <v>1</v>
      </c>
      <c r="K1088" s="45" t="s">
        <v>1249</v>
      </c>
      <c r="L1088" s="46" t="s">
        <v>1252</v>
      </c>
      <c r="M1088" s="21" t="s">
        <v>1253</v>
      </c>
      <c r="N1088" s="48">
        <v>45649</v>
      </c>
      <c r="O1088" s="21">
        <f>INDEX(Auxiliar!$D$5:$F$13,MATCH(Table1[[#This Row],[Tipologia_Testes]],Auxiliar!$B$5:$B$13,0),MATCH(Table1[[#This Row],[Complexidade]],Auxiliar!$D$4:$F$4,0))</f>
        <v>0.1</v>
      </c>
      <c r="P1088" s="43" t="s">
        <v>1338</v>
      </c>
      <c r="Q1088" s="114"/>
      <c r="R1088" s="152">
        <v>45593</v>
      </c>
      <c r="S1088" s="152"/>
      <c r="T1088" s="152">
        <v>45593</v>
      </c>
      <c r="U1088" s="152">
        <v>45624</v>
      </c>
      <c r="V1088" s="152">
        <v>45644</v>
      </c>
      <c r="W1088" s="2">
        <f>VLOOKUP(Table1[[#This Row],[Status]],Auxiliar!$B$16:$D$24,3,0)*Table1[[#This Row],[Estimação (horas)]]</f>
        <v>0.1</v>
      </c>
      <c r="X1088" s="114"/>
    </row>
    <row r="1089" spans="2:24" ht="34.950000000000003" hidden="1" customHeight="1">
      <c r="B1089" s="41" t="s">
        <v>26</v>
      </c>
      <c r="C1089" s="41" t="s">
        <v>26</v>
      </c>
      <c r="D1089" s="36" t="s">
        <v>1339</v>
      </c>
      <c r="E1089" s="111" t="s">
        <v>1340</v>
      </c>
      <c r="F1089" s="40" t="s">
        <v>336</v>
      </c>
      <c r="G1089" s="38" t="s">
        <v>239</v>
      </c>
      <c r="H1089" s="60" t="str">
        <f>Table1[[#This Row],[Tabela]]&amp;Table1[[#This Row],[Campo]]</f>
        <v>lt003_entityisin</v>
      </c>
      <c r="I1089" s="2" t="s">
        <v>613</v>
      </c>
      <c r="J1089" s="45">
        <f>VLOOKUP(Table1[[#This Row],[Status]],Auxiliar!$B$16:$C$24,2,0)</f>
        <v>1</v>
      </c>
      <c r="K1089" s="45" t="s">
        <v>1246</v>
      </c>
      <c r="L1089" s="46" t="s">
        <v>1252</v>
      </c>
      <c r="M1089" s="21" t="s">
        <v>1253</v>
      </c>
      <c r="N1089" s="48">
        <v>45632</v>
      </c>
      <c r="O1089" s="21">
        <f>INDEX(Auxiliar!$D$5:$F$13,MATCH(Table1[[#This Row],[Tipologia_Testes]],Auxiliar!$B$5:$B$13,0),MATCH(Table1[[#This Row],[Complexidade]],Auxiliar!$D$4:$F$4,0))</f>
        <v>2</v>
      </c>
      <c r="P1089" s="43" t="s">
        <v>656</v>
      </c>
      <c r="Q1089" s="114"/>
      <c r="R1089" s="152">
        <v>45589</v>
      </c>
      <c r="S1089" s="152"/>
      <c r="T1089" s="152">
        <v>45589</v>
      </c>
      <c r="U1089" s="152"/>
      <c r="V1089" s="152">
        <v>45611</v>
      </c>
      <c r="W1089" s="2">
        <f>VLOOKUP(Table1[[#This Row],[Status]],Auxiliar!$B$16:$D$24,3,0)*Table1[[#This Row],[Estimação (horas)]]</f>
        <v>2</v>
      </c>
      <c r="X1089" s="114"/>
    </row>
    <row r="1090" spans="2:24" ht="17.7" hidden="1" customHeight="1">
      <c r="B1090" s="39" t="s">
        <v>26</v>
      </c>
      <c r="C1090" s="39" t="s">
        <v>26</v>
      </c>
      <c r="D1090" s="39" t="s">
        <v>1339</v>
      </c>
      <c r="E1090" s="39" t="s">
        <v>1340</v>
      </c>
      <c r="F1090" s="39" t="s">
        <v>336</v>
      </c>
      <c r="G1090" s="39" t="s">
        <v>239</v>
      </c>
      <c r="H1090" s="59" t="str">
        <f>Table1[[#This Row],[Tabela]]&amp;Table1[[#This Row],[Campo]]</f>
        <v>lt003_entityisin</v>
      </c>
      <c r="I1090" s="2" t="s">
        <v>613</v>
      </c>
      <c r="J1090" s="45">
        <f>VLOOKUP(Table1[[#This Row],[Status]],Auxiliar!$B$16:$C$24,2,0)</f>
        <v>1</v>
      </c>
      <c r="K1090" s="45" t="s">
        <v>1247</v>
      </c>
      <c r="L1090" s="46" t="s">
        <v>1252</v>
      </c>
      <c r="M1090" s="21" t="s">
        <v>1253</v>
      </c>
      <c r="N1090" s="48">
        <v>45632</v>
      </c>
      <c r="O1090" s="21">
        <f>INDEX(Auxiliar!$D$5:$F$13,MATCH(Table1[[#This Row],[Tipologia_Testes]],Auxiliar!$B$5:$B$13,0),MATCH(Table1[[#This Row],[Complexidade]],Auxiliar!$D$4:$F$4,0))</f>
        <v>2</v>
      </c>
      <c r="P1090" s="43" t="s">
        <v>656</v>
      </c>
      <c r="Q1090" s="114"/>
      <c r="R1090" s="152">
        <v>45589</v>
      </c>
      <c r="S1090" s="152"/>
      <c r="T1090" s="152">
        <v>45589</v>
      </c>
      <c r="U1090" s="152"/>
      <c r="V1090" s="152">
        <v>45611</v>
      </c>
      <c r="W1090" s="2">
        <f>VLOOKUP(Table1[[#This Row],[Status]],Auxiliar!$B$16:$D$24,3,0)*Table1[[#This Row],[Estimação (horas)]]</f>
        <v>2</v>
      </c>
      <c r="X1090" s="114"/>
    </row>
    <row r="1091" spans="2:24" ht="17.7" hidden="1" customHeight="1">
      <c r="B1091" s="39" t="s">
        <v>26</v>
      </c>
      <c r="C1091" s="39" t="s">
        <v>26</v>
      </c>
      <c r="D1091" s="39" t="s">
        <v>1339</v>
      </c>
      <c r="E1091" s="39" t="s">
        <v>1340</v>
      </c>
      <c r="F1091" s="39" t="s">
        <v>336</v>
      </c>
      <c r="G1091" s="39" t="s">
        <v>239</v>
      </c>
      <c r="H1091" s="59" t="str">
        <f>Table1[[#This Row],[Tabela]]&amp;Table1[[#This Row],[Campo]]</f>
        <v>lt003_entityisin</v>
      </c>
      <c r="I1091" s="2" t="s">
        <v>613</v>
      </c>
      <c r="J1091" s="45">
        <f>VLOOKUP(Table1[[#This Row],[Status]],Auxiliar!$B$16:$C$24,2,0)</f>
        <v>1</v>
      </c>
      <c r="K1091" s="45" t="s">
        <v>1249</v>
      </c>
      <c r="L1091" s="46" t="s">
        <v>1252</v>
      </c>
      <c r="M1091" s="21" t="s">
        <v>1253</v>
      </c>
      <c r="N1091" s="48">
        <v>45632</v>
      </c>
      <c r="O1091" s="21">
        <f>INDEX(Auxiliar!$D$5:$F$13,MATCH(Table1[[#This Row],[Tipologia_Testes]],Auxiliar!$B$5:$B$13,0),MATCH(Table1[[#This Row],[Complexidade]],Auxiliar!$D$4:$F$4,0))</f>
        <v>0.1</v>
      </c>
      <c r="P1091" s="43" t="s">
        <v>656</v>
      </c>
      <c r="Q1091" s="114"/>
      <c r="R1091" s="152">
        <v>45589</v>
      </c>
      <c r="S1091" s="152"/>
      <c r="T1091" s="152">
        <v>45589</v>
      </c>
      <c r="U1091" s="152"/>
      <c r="V1091" s="152">
        <v>45611</v>
      </c>
      <c r="W1091" s="2">
        <f>VLOOKUP(Table1[[#This Row],[Status]],Auxiliar!$B$16:$D$24,3,0)*Table1[[#This Row],[Estimação (horas)]]</f>
        <v>0.1</v>
      </c>
      <c r="X1091" s="114"/>
    </row>
    <row r="1092" spans="2:24" ht="34.950000000000003" hidden="1" customHeight="1">
      <c r="B1092" s="41" t="s">
        <v>26</v>
      </c>
      <c r="C1092" s="41" t="s">
        <v>26</v>
      </c>
      <c r="D1092" s="36" t="s">
        <v>1341</v>
      </c>
      <c r="E1092" s="111" t="s">
        <v>1342</v>
      </c>
      <c r="F1092" s="40" t="s">
        <v>336</v>
      </c>
      <c r="G1092" s="38" t="s">
        <v>363</v>
      </c>
      <c r="H1092" s="60" t="str">
        <f>Table1[[#This Row],[Tabela]]&amp;Table1[[#This Row],[Campo]]</f>
        <v>lt003_entitygrp_annl_trnvr_le</v>
      </c>
      <c r="I1092" s="2" t="s">
        <v>613</v>
      </c>
      <c r="J1092" s="45">
        <f>VLOOKUP(Table1[[#This Row],[Status]],Auxiliar!$B$16:$C$24,2,0)</f>
        <v>1</v>
      </c>
      <c r="K1092" s="45" t="s">
        <v>1246</v>
      </c>
      <c r="L1092" s="46" t="s">
        <v>1252</v>
      </c>
      <c r="M1092" s="21" t="s">
        <v>1253</v>
      </c>
      <c r="N1092" s="48">
        <v>45632</v>
      </c>
      <c r="O1092" s="21">
        <f>INDEX(Auxiliar!$D$5:$F$13,MATCH(Table1[[#This Row],[Tipologia_Testes]],Auxiliar!$B$5:$B$13,0),MATCH(Table1[[#This Row],[Complexidade]],Auxiliar!$D$4:$F$4,0))</f>
        <v>2</v>
      </c>
      <c r="P1092" s="43" t="s">
        <v>1338</v>
      </c>
      <c r="Q1092" s="114"/>
      <c r="R1092" s="152">
        <v>45593</v>
      </c>
      <c r="S1092" s="152"/>
      <c r="T1092" s="152">
        <v>45593</v>
      </c>
      <c r="U1092" s="152">
        <v>45611</v>
      </c>
      <c r="V1092" s="152">
        <v>45611</v>
      </c>
      <c r="W1092" s="2">
        <f>VLOOKUP(Table1[[#This Row],[Status]],Auxiliar!$B$16:$D$24,3,0)*Table1[[#This Row],[Estimação (horas)]]</f>
        <v>2</v>
      </c>
      <c r="X1092" s="114"/>
    </row>
    <row r="1093" spans="2:24" ht="17.7" hidden="1" customHeight="1">
      <c r="B1093" s="39" t="s">
        <v>26</v>
      </c>
      <c r="C1093" s="39" t="s">
        <v>26</v>
      </c>
      <c r="D1093" s="39" t="s">
        <v>1341</v>
      </c>
      <c r="E1093" s="39" t="s">
        <v>1342</v>
      </c>
      <c r="F1093" s="39" t="s">
        <v>336</v>
      </c>
      <c r="G1093" s="39" t="s">
        <v>363</v>
      </c>
      <c r="H1093" s="59" t="str">
        <f>Table1[[#This Row],[Tabela]]&amp;Table1[[#This Row],[Campo]]</f>
        <v>lt003_entitygrp_annl_trnvr_le</v>
      </c>
      <c r="I1093" s="2" t="s">
        <v>613</v>
      </c>
      <c r="J1093" s="45">
        <f>VLOOKUP(Table1[[#This Row],[Status]],Auxiliar!$B$16:$C$24,2,0)</f>
        <v>1</v>
      </c>
      <c r="K1093" s="45" t="s">
        <v>1247</v>
      </c>
      <c r="L1093" s="46" t="s">
        <v>1252</v>
      </c>
      <c r="M1093" s="21" t="s">
        <v>1253</v>
      </c>
      <c r="N1093" s="48">
        <v>45632</v>
      </c>
      <c r="O1093" s="21">
        <f>INDEX(Auxiliar!$D$5:$F$13,MATCH(Table1[[#This Row],[Tipologia_Testes]],Auxiliar!$B$5:$B$13,0),MATCH(Table1[[#This Row],[Complexidade]],Auxiliar!$D$4:$F$4,0))</f>
        <v>2</v>
      </c>
      <c r="P1093" s="43" t="s">
        <v>1338</v>
      </c>
      <c r="Q1093" s="114"/>
      <c r="R1093" s="152">
        <v>45593</v>
      </c>
      <c r="S1093" s="152"/>
      <c r="T1093" s="152">
        <v>45593</v>
      </c>
      <c r="U1093" s="152">
        <v>45611</v>
      </c>
      <c r="V1093" s="152">
        <v>45611</v>
      </c>
      <c r="W1093" s="2">
        <f>VLOOKUP(Table1[[#This Row],[Status]],Auxiliar!$B$16:$D$24,3,0)*Table1[[#This Row],[Estimação (horas)]]</f>
        <v>2</v>
      </c>
      <c r="X1093" s="114"/>
    </row>
    <row r="1094" spans="2:24" ht="17.7" hidden="1" customHeight="1">
      <c r="B1094" s="39" t="s">
        <v>26</v>
      </c>
      <c r="C1094" s="39" t="s">
        <v>26</v>
      </c>
      <c r="D1094" s="39" t="s">
        <v>1341</v>
      </c>
      <c r="E1094" s="39" t="s">
        <v>1342</v>
      </c>
      <c r="F1094" s="39" t="s">
        <v>336</v>
      </c>
      <c r="G1094" s="39" t="s">
        <v>363</v>
      </c>
      <c r="H1094" s="59" t="str">
        <f>Table1[[#This Row],[Tabela]]&amp;Table1[[#This Row],[Campo]]</f>
        <v>lt003_entitygrp_annl_trnvr_le</v>
      </c>
      <c r="I1094" s="2" t="s">
        <v>613</v>
      </c>
      <c r="J1094" s="45">
        <f>VLOOKUP(Table1[[#This Row],[Status]],Auxiliar!$B$16:$C$24,2,0)</f>
        <v>1</v>
      </c>
      <c r="K1094" s="45" t="s">
        <v>1249</v>
      </c>
      <c r="L1094" s="46" t="s">
        <v>1252</v>
      </c>
      <c r="M1094" s="21" t="s">
        <v>1253</v>
      </c>
      <c r="N1094" s="48">
        <v>45632</v>
      </c>
      <c r="O1094" s="21">
        <f>INDEX(Auxiliar!$D$5:$F$13,MATCH(Table1[[#This Row],[Tipologia_Testes]],Auxiliar!$B$5:$B$13,0),MATCH(Table1[[#This Row],[Complexidade]],Auxiliar!$D$4:$F$4,0))</f>
        <v>0.1</v>
      </c>
      <c r="P1094" s="43" t="s">
        <v>1338</v>
      </c>
      <c r="Q1094" s="114"/>
      <c r="R1094" s="152">
        <v>45593</v>
      </c>
      <c r="S1094" s="152"/>
      <c r="T1094" s="152">
        <v>45593</v>
      </c>
      <c r="U1094" s="152">
        <v>45611</v>
      </c>
      <c r="V1094" s="152">
        <v>45611</v>
      </c>
      <c r="W1094" s="2">
        <f>VLOOKUP(Table1[[#This Row],[Status]],Auxiliar!$B$16:$D$24,3,0)*Table1[[#This Row],[Estimação (horas)]]</f>
        <v>0.1</v>
      </c>
      <c r="X1094" s="114"/>
    </row>
    <row r="1095" spans="2:24" ht="34.950000000000003" hidden="1" customHeight="1">
      <c r="B1095" s="41" t="s">
        <v>26</v>
      </c>
      <c r="C1095" s="41" t="s">
        <v>26</v>
      </c>
      <c r="D1095" s="36" t="s">
        <v>1343</v>
      </c>
      <c r="E1095" s="111" t="s">
        <v>1337</v>
      </c>
      <c r="F1095" s="40" t="s">
        <v>336</v>
      </c>
      <c r="G1095" s="38" t="s">
        <v>364</v>
      </c>
      <c r="H1095" s="60" t="str">
        <f>Table1[[#This Row],[Tabela]]&amp;Table1[[#This Row],[Campo]]</f>
        <v>lt003_entitygrp_ttl_lblty</v>
      </c>
      <c r="I1095" s="2" t="s">
        <v>613</v>
      </c>
      <c r="J1095" s="45">
        <f>VLOOKUP(Table1[[#This Row],[Status]],Auxiliar!$B$16:$C$24,2,0)</f>
        <v>1</v>
      </c>
      <c r="K1095" s="45" t="s">
        <v>1246</v>
      </c>
      <c r="L1095" s="46" t="s">
        <v>1252</v>
      </c>
      <c r="M1095" s="21" t="s">
        <v>1253</v>
      </c>
      <c r="N1095" s="48">
        <v>45649</v>
      </c>
      <c r="O1095" s="21">
        <f>INDEX(Auxiliar!$D$5:$F$13,MATCH(Table1[[#This Row],[Tipologia_Testes]],Auxiliar!$B$5:$B$13,0),MATCH(Table1[[#This Row],[Complexidade]],Auxiliar!$D$4:$F$4,0))</f>
        <v>2</v>
      </c>
      <c r="P1095" s="43" t="s">
        <v>1338</v>
      </c>
      <c r="Q1095" s="114"/>
      <c r="R1095" s="152">
        <v>45593</v>
      </c>
      <c r="S1095" s="152"/>
      <c r="T1095" s="152">
        <v>45593</v>
      </c>
      <c r="U1095" s="152">
        <v>45611</v>
      </c>
      <c r="V1095" s="152">
        <v>45644</v>
      </c>
      <c r="W1095" s="2">
        <f>VLOOKUP(Table1[[#This Row],[Status]],Auxiliar!$B$16:$D$24,3,0)*Table1[[#This Row],[Estimação (horas)]]</f>
        <v>2</v>
      </c>
      <c r="X1095" s="114"/>
    </row>
    <row r="1096" spans="2:24" ht="17.7" hidden="1" customHeight="1">
      <c r="B1096" s="39" t="s">
        <v>26</v>
      </c>
      <c r="C1096" s="39" t="s">
        <v>26</v>
      </c>
      <c r="D1096" s="39" t="s">
        <v>1343</v>
      </c>
      <c r="E1096" s="39" t="s">
        <v>1337</v>
      </c>
      <c r="F1096" s="39" t="s">
        <v>336</v>
      </c>
      <c r="G1096" s="39" t="s">
        <v>364</v>
      </c>
      <c r="H1096" s="59" t="str">
        <f>Table1[[#This Row],[Tabela]]&amp;Table1[[#This Row],[Campo]]</f>
        <v>lt003_entitygrp_ttl_lblty</v>
      </c>
      <c r="I1096" s="2" t="s">
        <v>613</v>
      </c>
      <c r="J1096" s="45">
        <f>VLOOKUP(Table1[[#This Row],[Status]],Auxiliar!$B$16:$C$24,2,0)</f>
        <v>1</v>
      </c>
      <c r="K1096" s="45" t="s">
        <v>1247</v>
      </c>
      <c r="L1096" s="46" t="s">
        <v>1252</v>
      </c>
      <c r="M1096" s="21" t="s">
        <v>1253</v>
      </c>
      <c r="N1096" s="48">
        <v>45649</v>
      </c>
      <c r="O1096" s="21">
        <f>INDEX(Auxiliar!$D$5:$F$13,MATCH(Table1[[#This Row],[Tipologia_Testes]],Auxiliar!$B$5:$B$13,0),MATCH(Table1[[#This Row],[Complexidade]],Auxiliar!$D$4:$F$4,0))</f>
        <v>2</v>
      </c>
      <c r="P1096" s="43" t="s">
        <v>1338</v>
      </c>
      <c r="Q1096" s="114"/>
      <c r="R1096" s="152">
        <v>45593</v>
      </c>
      <c r="S1096" s="152"/>
      <c r="T1096" s="152">
        <v>45593</v>
      </c>
      <c r="U1096" s="152">
        <v>45611</v>
      </c>
      <c r="V1096" s="152">
        <v>45644</v>
      </c>
      <c r="W1096" s="2">
        <f>VLOOKUP(Table1[[#This Row],[Status]],Auxiliar!$B$16:$D$24,3,0)*Table1[[#This Row],[Estimação (horas)]]</f>
        <v>2</v>
      </c>
      <c r="X1096" s="114"/>
    </row>
    <row r="1097" spans="2:24" ht="17.7" hidden="1" customHeight="1">
      <c r="B1097" s="39" t="s">
        <v>26</v>
      </c>
      <c r="C1097" s="39" t="s">
        <v>26</v>
      </c>
      <c r="D1097" s="39" t="s">
        <v>1343</v>
      </c>
      <c r="E1097" s="39" t="s">
        <v>1337</v>
      </c>
      <c r="F1097" s="39" t="s">
        <v>336</v>
      </c>
      <c r="G1097" s="39" t="s">
        <v>364</v>
      </c>
      <c r="H1097" s="59" t="str">
        <f>Table1[[#This Row],[Tabela]]&amp;Table1[[#This Row],[Campo]]</f>
        <v>lt003_entitygrp_ttl_lblty</v>
      </c>
      <c r="I1097" s="2" t="s">
        <v>613</v>
      </c>
      <c r="J1097" s="45">
        <f>VLOOKUP(Table1[[#This Row],[Status]],Auxiliar!$B$16:$C$24,2,0)</f>
        <v>1</v>
      </c>
      <c r="K1097" s="45" t="s">
        <v>1249</v>
      </c>
      <c r="L1097" s="46" t="s">
        <v>1252</v>
      </c>
      <c r="M1097" s="21" t="s">
        <v>1253</v>
      </c>
      <c r="N1097" s="48">
        <v>45649</v>
      </c>
      <c r="O1097" s="21">
        <f>INDEX(Auxiliar!$D$5:$F$13,MATCH(Table1[[#This Row],[Tipologia_Testes]],Auxiliar!$B$5:$B$13,0),MATCH(Table1[[#This Row],[Complexidade]],Auxiliar!$D$4:$F$4,0))</f>
        <v>0.1</v>
      </c>
      <c r="P1097" s="43" t="s">
        <v>1338</v>
      </c>
      <c r="Q1097" s="114"/>
      <c r="R1097" s="152">
        <v>45593</v>
      </c>
      <c r="S1097" s="152"/>
      <c r="T1097" s="152">
        <v>45593</v>
      </c>
      <c r="U1097" s="152">
        <v>45611</v>
      </c>
      <c r="V1097" s="152">
        <v>45644</v>
      </c>
      <c r="W1097" s="2">
        <f>VLOOKUP(Table1[[#This Row],[Status]],Auxiliar!$B$16:$D$24,3,0)*Table1[[#This Row],[Estimação (horas)]]</f>
        <v>0.1</v>
      </c>
      <c r="X1097" s="114"/>
    </row>
    <row r="1098" spans="2:24" ht="34.950000000000003" hidden="1" customHeight="1">
      <c r="B1098" s="41" t="s">
        <v>26</v>
      </c>
      <c r="C1098" s="41" t="s">
        <v>26</v>
      </c>
      <c r="D1098" s="36" t="s">
        <v>326</v>
      </c>
      <c r="E1098" s="111" t="s">
        <v>1344</v>
      </c>
      <c r="F1098" s="40" t="s">
        <v>336</v>
      </c>
      <c r="G1098" s="38" t="s">
        <v>365</v>
      </c>
      <c r="H1098" s="60" t="str">
        <f>Table1[[#This Row],[Tabela]]&amp;Table1[[#This Row],[Campo]]</f>
        <v>lt003_entityflg_grp_nfrd_applcblty</v>
      </c>
      <c r="I1098" s="2" t="s">
        <v>613</v>
      </c>
      <c r="J1098" s="45">
        <f>VLOOKUP(Table1[[#This Row],[Status]],Auxiliar!$B$16:$C$24,2,0)</f>
        <v>1</v>
      </c>
      <c r="K1098" s="45" t="s">
        <v>1246</v>
      </c>
      <c r="L1098" s="46" t="s">
        <v>1252</v>
      </c>
      <c r="M1098" s="21" t="s">
        <v>1253</v>
      </c>
      <c r="N1098" s="48">
        <v>45642</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2</v>
      </c>
      <c r="X1098" s="114"/>
    </row>
    <row r="1099" spans="2:24" ht="17.7" hidden="1" customHeight="1">
      <c r="B1099" s="39" t="s">
        <v>26</v>
      </c>
      <c r="C1099" s="39" t="s">
        <v>26</v>
      </c>
      <c r="D1099" s="39" t="s">
        <v>326</v>
      </c>
      <c r="E1099" s="39" t="s">
        <v>1344</v>
      </c>
      <c r="F1099" s="39" t="s">
        <v>336</v>
      </c>
      <c r="G1099" s="39" t="s">
        <v>365</v>
      </c>
      <c r="H1099" s="59" t="str">
        <f>Table1[[#This Row],[Tabela]]&amp;Table1[[#This Row],[Campo]]</f>
        <v>lt003_entityflg_grp_nfrd_applcblty</v>
      </c>
      <c r="I1099" s="2" t="s">
        <v>613</v>
      </c>
      <c r="J1099" s="45">
        <f>VLOOKUP(Table1[[#This Row],[Status]],Auxiliar!$B$16:$C$24,2,0)</f>
        <v>1</v>
      </c>
      <c r="K1099" s="45" t="s">
        <v>1247</v>
      </c>
      <c r="L1099" s="46" t="s">
        <v>1252</v>
      </c>
      <c r="M1099" s="21" t="s">
        <v>1253</v>
      </c>
      <c r="N1099" s="48">
        <v>45642</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2</v>
      </c>
      <c r="X1099" s="114"/>
    </row>
    <row r="1100" spans="2:24" ht="17.7" hidden="1" customHeight="1">
      <c r="B1100" s="39" t="s">
        <v>26</v>
      </c>
      <c r="C1100" s="39" t="s">
        <v>26</v>
      </c>
      <c r="D1100" s="39" t="s">
        <v>326</v>
      </c>
      <c r="E1100" s="39" t="s">
        <v>1344</v>
      </c>
      <c r="F1100" s="39" t="s">
        <v>336</v>
      </c>
      <c r="G1100" s="39" t="s">
        <v>365</v>
      </c>
      <c r="H1100" s="59" t="str">
        <f>Table1[[#This Row],[Tabela]]&amp;Table1[[#This Row],[Campo]]</f>
        <v>lt003_entityflg_grp_nfrd_applcblty</v>
      </c>
      <c r="I1100" s="2" t="s">
        <v>613</v>
      </c>
      <c r="J1100" s="45">
        <f>VLOOKUP(Table1[[#This Row],[Status]],Auxiliar!$B$16:$C$24,2,0)</f>
        <v>1</v>
      </c>
      <c r="K1100" s="45" t="s">
        <v>1249</v>
      </c>
      <c r="L1100" s="46" t="s">
        <v>1252</v>
      </c>
      <c r="M1100" s="21" t="s">
        <v>1253</v>
      </c>
      <c r="N1100" s="48">
        <v>45642</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0.1</v>
      </c>
      <c r="X1100" s="114"/>
    </row>
    <row r="1101" spans="2:24" ht="34.950000000000003" hidden="1" customHeight="1">
      <c r="B1101" s="41" t="s">
        <v>26</v>
      </c>
      <c r="C1101" s="41" t="s">
        <v>26</v>
      </c>
      <c r="D1101" s="36" t="s">
        <v>326</v>
      </c>
      <c r="E1101" s="111" t="s">
        <v>1345</v>
      </c>
      <c r="F1101" s="40" t="s">
        <v>336</v>
      </c>
      <c r="G1101" s="38" t="s">
        <v>366</v>
      </c>
      <c r="H1101" s="60" t="str">
        <f>Table1[[#This Row],[Tabela]]&amp;Table1[[#This Row],[Campo]]</f>
        <v>lt003_entitygrp_emssns_scp1</v>
      </c>
      <c r="I1101" s="2" t="s">
        <v>614</v>
      </c>
      <c r="J1101" s="45">
        <f>VLOOKUP(Table1[[#This Row],[Status]],Auxiliar!$B$16:$C$24,2,0)</f>
        <v>4</v>
      </c>
      <c r="K1101" s="45" t="s">
        <v>1246</v>
      </c>
      <c r="L1101" s="46" t="s">
        <v>1252</v>
      </c>
      <c r="M1101" s="21" t="s">
        <v>1253</v>
      </c>
      <c r="N1101" s="48">
        <v>45667</v>
      </c>
      <c r="O1101" s="21">
        <f>INDEX(Auxiliar!$D$5:$F$13,MATCH(Table1[[#This Row],[Tipologia_Testes]],Auxiliar!$B$5:$B$13,0),MATCH(Table1[[#This Row],[Complexidade]],Auxiliar!$D$4:$F$4,0))</f>
        <v>2</v>
      </c>
      <c r="P1101" s="43" t="s">
        <v>1346</v>
      </c>
      <c r="Q1101" s="114"/>
      <c r="R1101" s="152">
        <v>45589</v>
      </c>
      <c r="S1101" s="152"/>
      <c r="T1101" s="152">
        <v>45589</v>
      </c>
      <c r="U1101" s="152"/>
      <c r="V1101" s="152">
        <v>45644</v>
      </c>
      <c r="W1101" s="2">
        <f>VLOOKUP(Table1[[#This Row],[Status]],Auxiliar!$B$16:$D$24,3,0)*Table1[[#This Row],[Estimação (horas)]]</f>
        <v>0.5</v>
      </c>
      <c r="X1101" s="114"/>
    </row>
    <row r="1102" spans="2:24" ht="17.7" hidden="1" customHeight="1">
      <c r="B1102" s="39" t="s">
        <v>26</v>
      </c>
      <c r="C1102" s="39" t="s">
        <v>26</v>
      </c>
      <c r="D1102" s="39" t="s">
        <v>326</v>
      </c>
      <c r="E1102" s="39" t="s">
        <v>1345</v>
      </c>
      <c r="F1102" s="39" t="s">
        <v>336</v>
      </c>
      <c r="G1102" s="39" t="s">
        <v>366</v>
      </c>
      <c r="H1102" s="59" t="str">
        <f>Table1[[#This Row],[Tabela]]&amp;Table1[[#This Row],[Campo]]</f>
        <v>lt003_entitygrp_emssns_scp1</v>
      </c>
      <c r="I1102" s="2" t="s">
        <v>614</v>
      </c>
      <c r="J1102" s="45">
        <f>VLOOKUP(Table1[[#This Row],[Status]],Auxiliar!$B$16:$C$24,2,0)</f>
        <v>4</v>
      </c>
      <c r="K1102" s="45" t="s">
        <v>1247</v>
      </c>
      <c r="L1102" s="46" t="s">
        <v>1252</v>
      </c>
      <c r="M1102" s="21" t="s">
        <v>1253</v>
      </c>
      <c r="N1102" s="48">
        <v>45667</v>
      </c>
      <c r="O1102" s="21">
        <f>INDEX(Auxiliar!$D$5:$F$13,MATCH(Table1[[#This Row],[Tipologia_Testes]],Auxiliar!$B$5:$B$13,0),MATCH(Table1[[#This Row],[Complexidade]],Auxiliar!$D$4:$F$4,0))</f>
        <v>2</v>
      </c>
      <c r="P1102" s="43" t="s">
        <v>1346</v>
      </c>
      <c r="Q1102" s="114"/>
      <c r="R1102" s="152">
        <v>45589</v>
      </c>
      <c r="S1102" s="152"/>
      <c r="T1102" s="152">
        <v>45589</v>
      </c>
      <c r="U1102" s="152"/>
      <c r="V1102" s="152">
        <v>45644</v>
      </c>
      <c r="W1102" s="2">
        <f>VLOOKUP(Table1[[#This Row],[Status]],Auxiliar!$B$16:$D$24,3,0)*Table1[[#This Row],[Estimação (horas)]]</f>
        <v>0.5</v>
      </c>
      <c r="X1102" s="114"/>
    </row>
    <row r="1103" spans="2:24" ht="17.7" hidden="1" customHeight="1">
      <c r="B1103" s="39" t="s">
        <v>26</v>
      </c>
      <c r="C1103" s="39" t="s">
        <v>26</v>
      </c>
      <c r="D1103" s="39" t="s">
        <v>326</v>
      </c>
      <c r="E1103" s="39" t="s">
        <v>1345</v>
      </c>
      <c r="F1103" s="39" t="s">
        <v>336</v>
      </c>
      <c r="G1103" s="39" t="s">
        <v>366</v>
      </c>
      <c r="H1103" s="59" t="str">
        <f>Table1[[#This Row],[Tabela]]&amp;Table1[[#This Row],[Campo]]</f>
        <v>lt003_entitygrp_emssns_scp1</v>
      </c>
      <c r="I1103" s="2" t="s">
        <v>614</v>
      </c>
      <c r="J1103" s="45">
        <f>VLOOKUP(Table1[[#This Row],[Status]],Auxiliar!$B$16:$C$24,2,0)</f>
        <v>4</v>
      </c>
      <c r="K1103" s="45" t="s">
        <v>1249</v>
      </c>
      <c r="L1103" s="46" t="s">
        <v>1252</v>
      </c>
      <c r="M1103" s="21" t="s">
        <v>1253</v>
      </c>
      <c r="N1103" s="48">
        <v>45667</v>
      </c>
      <c r="O1103" s="21">
        <f>INDEX(Auxiliar!$D$5:$F$13,MATCH(Table1[[#This Row],[Tipologia_Testes]],Auxiliar!$B$5:$B$13,0),MATCH(Table1[[#This Row],[Complexidade]],Auxiliar!$D$4:$F$4,0))</f>
        <v>0.1</v>
      </c>
      <c r="P1103" s="43" t="s">
        <v>1346</v>
      </c>
      <c r="Q1103" s="114"/>
      <c r="R1103" s="152">
        <v>45589</v>
      </c>
      <c r="S1103" s="152"/>
      <c r="T1103" s="152">
        <v>45589</v>
      </c>
      <c r="U1103" s="152"/>
      <c r="V1103" s="152">
        <v>45644</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1347</v>
      </c>
      <c r="F1104" s="40" t="s">
        <v>336</v>
      </c>
      <c r="G1104" s="38" t="s">
        <v>367</v>
      </c>
      <c r="H1104" s="60" t="str">
        <f>Table1[[#This Row],[Tabela]]&amp;Table1[[#This Row],[Campo]]</f>
        <v>lt003_entitygrp_emssns_scp2</v>
      </c>
      <c r="I1104" s="2" t="s">
        <v>614</v>
      </c>
      <c r="J1104" s="45">
        <f>VLOOKUP(Table1[[#This Row],[Status]],Auxiliar!$B$16:$C$24,2,0)</f>
        <v>4</v>
      </c>
      <c r="K1104" s="45" t="s">
        <v>1246</v>
      </c>
      <c r="L1104" s="46" t="s">
        <v>1252</v>
      </c>
      <c r="M1104" s="21" t="s">
        <v>1253</v>
      </c>
      <c r="N1104" s="48">
        <v>45667</v>
      </c>
      <c r="O1104" s="21">
        <f>INDEX(Auxiliar!$D$5:$F$13,MATCH(Table1[[#This Row],[Tipologia_Testes]],Auxiliar!$B$5:$B$13,0),MATCH(Table1[[#This Row],[Complexidade]],Auxiliar!$D$4:$F$4,0))</f>
        <v>2</v>
      </c>
      <c r="P1104" s="43" t="s">
        <v>1346</v>
      </c>
      <c r="Q1104" s="114"/>
      <c r="R1104" s="152">
        <v>45589</v>
      </c>
      <c r="S1104" s="152"/>
      <c r="T1104" s="152">
        <v>45589</v>
      </c>
      <c r="U1104" s="152"/>
      <c r="V1104" s="152">
        <v>45644</v>
      </c>
      <c r="W1104" s="2">
        <f>VLOOKUP(Table1[[#This Row],[Status]],Auxiliar!$B$16:$D$24,3,0)*Table1[[#This Row],[Estimação (horas)]]</f>
        <v>0.5</v>
      </c>
      <c r="X1104" s="114"/>
    </row>
    <row r="1105" spans="2:24" ht="17.7" hidden="1" customHeight="1">
      <c r="B1105" s="39" t="s">
        <v>26</v>
      </c>
      <c r="C1105" s="39" t="s">
        <v>26</v>
      </c>
      <c r="D1105" s="39" t="s">
        <v>326</v>
      </c>
      <c r="E1105" s="39" t="s">
        <v>1347</v>
      </c>
      <c r="F1105" s="39" t="s">
        <v>336</v>
      </c>
      <c r="G1105" s="39" t="s">
        <v>367</v>
      </c>
      <c r="H1105" s="59" t="str">
        <f>Table1[[#This Row],[Tabela]]&amp;Table1[[#This Row],[Campo]]</f>
        <v>lt003_entitygrp_emssns_scp2</v>
      </c>
      <c r="I1105" s="2" t="s">
        <v>614</v>
      </c>
      <c r="J1105" s="45">
        <f>VLOOKUP(Table1[[#This Row],[Status]],Auxiliar!$B$16:$C$24,2,0)</f>
        <v>4</v>
      </c>
      <c r="K1105" s="45" t="s">
        <v>1247</v>
      </c>
      <c r="L1105" s="46" t="s">
        <v>1252</v>
      </c>
      <c r="M1105" s="21" t="s">
        <v>1253</v>
      </c>
      <c r="N1105" s="48">
        <v>45667</v>
      </c>
      <c r="O1105" s="21">
        <f>INDEX(Auxiliar!$D$5:$F$13,MATCH(Table1[[#This Row],[Tipologia_Testes]],Auxiliar!$B$5:$B$13,0),MATCH(Table1[[#This Row],[Complexidade]],Auxiliar!$D$4:$F$4,0))</f>
        <v>2</v>
      </c>
      <c r="P1105" s="43" t="s">
        <v>1346</v>
      </c>
      <c r="Q1105" s="114"/>
      <c r="R1105" s="152">
        <v>45589</v>
      </c>
      <c r="S1105" s="152"/>
      <c r="T1105" s="152">
        <v>45589</v>
      </c>
      <c r="U1105" s="152"/>
      <c r="V1105" s="152">
        <v>45644</v>
      </c>
      <c r="W1105" s="2">
        <f>VLOOKUP(Table1[[#This Row],[Status]],Auxiliar!$B$16:$D$24,3,0)*Table1[[#This Row],[Estimação (horas)]]</f>
        <v>0.5</v>
      </c>
      <c r="X1105" s="114"/>
    </row>
    <row r="1106" spans="2:24" ht="17.7" hidden="1" customHeight="1">
      <c r="B1106" s="39" t="s">
        <v>26</v>
      </c>
      <c r="C1106" s="39" t="s">
        <v>26</v>
      </c>
      <c r="D1106" s="39" t="s">
        <v>326</v>
      </c>
      <c r="E1106" s="39" t="s">
        <v>1347</v>
      </c>
      <c r="F1106" s="39" t="s">
        <v>336</v>
      </c>
      <c r="G1106" s="39" t="s">
        <v>367</v>
      </c>
      <c r="H1106" s="59" t="str">
        <f>Table1[[#This Row],[Tabela]]&amp;Table1[[#This Row],[Campo]]</f>
        <v>lt003_entitygrp_emssns_scp2</v>
      </c>
      <c r="I1106" s="2" t="s">
        <v>614</v>
      </c>
      <c r="J1106" s="45">
        <f>VLOOKUP(Table1[[#This Row],[Status]],Auxiliar!$B$16:$C$24,2,0)</f>
        <v>4</v>
      </c>
      <c r="K1106" s="45" t="s">
        <v>1249</v>
      </c>
      <c r="L1106" s="46" t="s">
        <v>1252</v>
      </c>
      <c r="M1106" s="21" t="s">
        <v>1253</v>
      </c>
      <c r="N1106" s="48">
        <v>45667</v>
      </c>
      <c r="O1106" s="21">
        <f>INDEX(Auxiliar!$D$5:$F$13,MATCH(Table1[[#This Row],[Tipologia_Testes]],Auxiliar!$B$5:$B$13,0),MATCH(Table1[[#This Row],[Complexidade]],Auxiliar!$D$4:$F$4,0))</f>
        <v>0.1</v>
      </c>
      <c r="P1106" s="43" t="s">
        <v>1346</v>
      </c>
      <c r="Q1106" s="114"/>
      <c r="R1106" s="152">
        <v>45589</v>
      </c>
      <c r="S1106" s="152"/>
      <c r="T1106" s="152">
        <v>45589</v>
      </c>
      <c r="U1106" s="152"/>
      <c r="V1106" s="152">
        <v>45644</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1348</v>
      </c>
      <c r="F1107" s="40" t="s">
        <v>336</v>
      </c>
      <c r="G1107" s="38" t="s">
        <v>368</v>
      </c>
      <c r="H1107" s="60" t="str">
        <f>Table1[[#This Row],[Tabela]]&amp;Table1[[#This Row],[Campo]]</f>
        <v>lt003_entitygrp_emssns_scp3</v>
      </c>
      <c r="I1107" s="2" t="s">
        <v>614</v>
      </c>
      <c r="J1107" s="45">
        <f>VLOOKUP(Table1[[#This Row],[Status]],Auxiliar!$B$16:$C$24,2,0)</f>
        <v>4</v>
      </c>
      <c r="K1107" s="45" t="s">
        <v>1246</v>
      </c>
      <c r="L1107" s="46" t="s">
        <v>1252</v>
      </c>
      <c r="M1107" s="21" t="s">
        <v>1253</v>
      </c>
      <c r="N1107" s="48">
        <v>45667</v>
      </c>
      <c r="O1107" s="21">
        <f>INDEX(Auxiliar!$D$5:$F$13,MATCH(Table1[[#This Row],[Tipologia_Testes]],Auxiliar!$B$5:$B$13,0),MATCH(Table1[[#This Row],[Complexidade]],Auxiliar!$D$4:$F$4,0))</f>
        <v>2</v>
      </c>
      <c r="P1107" s="43" t="s">
        <v>1346</v>
      </c>
      <c r="Q1107" s="114"/>
      <c r="R1107" s="152">
        <v>45589</v>
      </c>
      <c r="S1107" s="152"/>
      <c r="T1107" s="152">
        <v>45589</v>
      </c>
      <c r="U1107" s="152"/>
      <c r="V1107" s="152">
        <v>45644</v>
      </c>
      <c r="W1107" s="2">
        <f>VLOOKUP(Table1[[#This Row],[Status]],Auxiliar!$B$16:$D$24,3,0)*Table1[[#This Row],[Estimação (horas)]]</f>
        <v>0.5</v>
      </c>
      <c r="X1107" s="114"/>
    </row>
    <row r="1108" spans="2:24" ht="17.7" hidden="1" customHeight="1">
      <c r="B1108" s="39" t="s">
        <v>26</v>
      </c>
      <c r="C1108" s="39" t="s">
        <v>26</v>
      </c>
      <c r="D1108" s="39" t="s">
        <v>326</v>
      </c>
      <c r="E1108" s="39" t="s">
        <v>1348</v>
      </c>
      <c r="F1108" s="39" t="s">
        <v>336</v>
      </c>
      <c r="G1108" s="39" t="s">
        <v>368</v>
      </c>
      <c r="H1108" s="59" t="str">
        <f>Table1[[#This Row],[Tabela]]&amp;Table1[[#This Row],[Campo]]</f>
        <v>lt003_entitygrp_emssns_scp3</v>
      </c>
      <c r="I1108" s="2" t="s">
        <v>614</v>
      </c>
      <c r="J1108" s="45">
        <f>VLOOKUP(Table1[[#This Row],[Status]],Auxiliar!$B$16:$C$24,2,0)</f>
        <v>4</v>
      </c>
      <c r="K1108" s="45" t="s">
        <v>1247</v>
      </c>
      <c r="L1108" s="46" t="s">
        <v>1252</v>
      </c>
      <c r="M1108" s="21" t="s">
        <v>1253</v>
      </c>
      <c r="N1108" s="48">
        <v>45667</v>
      </c>
      <c r="O1108" s="21">
        <f>INDEX(Auxiliar!$D$5:$F$13,MATCH(Table1[[#This Row],[Tipologia_Testes]],Auxiliar!$B$5:$B$13,0),MATCH(Table1[[#This Row],[Complexidade]],Auxiliar!$D$4:$F$4,0))</f>
        <v>2</v>
      </c>
      <c r="P1108" s="43" t="s">
        <v>1346</v>
      </c>
      <c r="Q1108" s="114"/>
      <c r="R1108" s="152">
        <v>45589</v>
      </c>
      <c r="S1108" s="152"/>
      <c r="T1108" s="152">
        <v>45589</v>
      </c>
      <c r="U1108" s="152"/>
      <c r="V1108" s="152">
        <v>45644</v>
      </c>
      <c r="W1108" s="2">
        <f>VLOOKUP(Table1[[#This Row],[Status]],Auxiliar!$B$16:$D$24,3,0)*Table1[[#This Row],[Estimação (horas)]]</f>
        <v>0.5</v>
      </c>
      <c r="X1108" s="114"/>
    </row>
    <row r="1109" spans="2:24" ht="17.7" hidden="1" customHeight="1">
      <c r="B1109" s="39" t="s">
        <v>26</v>
      </c>
      <c r="C1109" s="39" t="s">
        <v>26</v>
      </c>
      <c r="D1109" s="39" t="s">
        <v>326</v>
      </c>
      <c r="E1109" s="39" t="s">
        <v>1348</v>
      </c>
      <c r="F1109" s="39" t="s">
        <v>336</v>
      </c>
      <c r="G1109" s="39" t="s">
        <v>368</v>
      </c>
      <c r="H1109" s="59" t="str">
        <f>Table1[[#This Row],[Tabela]]&amp;Table1[[#This Row],[Campo]]</f>
        <v>lt003_entitygrp_emssns_scp3</v>
      </c>
      <c r="I1109" s="2" t="s">
        <v>614</v>
      </c>
      <c r="J1109" s="45">
        <f>VLOOKUP(Table1[[#This Row],[Status]],Auxiliar!$B$16:$C$24,2,0)</f>
        <v>4</v>
      </c>
      <c r="K1109" s="45" t="s">
        <v>1249</v>
      </c>
      <c r="L1109" s="46" t="s">
        <v>1252</v>
      </c>
      <c r="M1109" s="21" t="s">
        <v>1253</v>
      </c>
      <c r="N1109" s="48">
        <v>45667</v>
      </c>
      <c r="O1109" s="21">
        <f>INDEX(Auxiliar!$D$5:$F$13,MATCH(Table1[[#This Row],[Tipologia_Testes]],Auxiliar!$B$5:$B$13,0),MATCH(Table1[[#This Row],[Complexidade]],Auxiliar!$D$4:$F$4,0))</f>
        <v>0.1</v>
      </c>
      <c r="P1109" s="43" t="s">
        <v>1346</v>
      </c>
      <c r="Q1109" s="114"/>
      <c r="R1109" s="152">
        <v>45589</v>
      </c>
      <c r="S1109" s="152"/>
      <c r="T1109" s="152">
        <v>45589</v>
      </c>
      <c r="U1109" s="152"/>
      <c r="V1109" s="152">
        <v>45644</v>
      </c>
      <c r="W1109" s="2">
        <f>VLOOKUP(Table1[[#This Row],[Status]],Auxiliar!$B$16:$D$24,3,0)*Table1[[#This Row],[Estimação (horas)]]</f>
        <v>2.5000000000000001E-2</v>
      </c>
      <c r="X1109" s="114"/>
    </row>
    <row r="1110" spans="2:24" ht="17.7" hidden="1" customHeight="1">
      <c r="B1110" s="41" t="s">
        <v>26</v>
      </c>
      <c r="C1110" s="41" t="s">
        <v>26</v>
      </c>
      <c r="D1110" s="2" t="s">
        <v>400</v>
      </c>
      <c r="E1110" s="40" t="s">
        <v>38</v>
      </c>
      <c r="F1110" s="2" t="s">
        <v>369</v>
      </c>
      <c r="G1110" s="2" t="s">
        <v>437</v>
      </c>
      <c r="H1110" s="57" t="str">
        <f>Table1[[#This Row],[Tabela]]&amp;Table1[[#This Row],[Campo]]</f>
        <v>lt004_protectiontyp_prtctn</v>
      </c>
      <c r="I1110" s="2" t="s">
        <v>613</v>
      </c>
      <c r="J1110" s="45">
        <f>VLOOKUP(Table1[[#This Row],[Status]],Auxiliar!$B$16:$C$24,2,0)</f>
        <v>1</v>
      </c>
      <c r="K1110" s="44" t="s">
        <v>1251</v>
      </c>
      <c r="L1110" s="46" t="s">
        <v>1252</v>
      </c>
      <c r="M1110" s="21" t="s">
        <v>1253</v>
      </c>
      <c r="N1110" s="48">
        <v>45667</v>
      </c>
      <c r="O1110" s="113">
        <v>0.1</v>
      </c>
      <c r="P1110" s="2" t="s">
        <v>2015</v>
      </c>
      <c r="Q1110" s="152"/>
      <c r="R1110" s="152">
        <v>45603</v>
      </c>
      <c r="S1110" s="152"/>
      <c r="T1110" s="152">
        <v>45588</v>
      </c>
      <c r="U1110" s="152">
        <v>45624</v>
      </c>
      <c r="V1110" s="152">
        <v>45624</v>
      </c>
      <c r="W1110" s="2">
        <f>VLOOKUP(Table1[[#This Row],[Status]],Auxiliar!$B$16:$D$24,3,0)*Table1[[#This Row],[Estimação (horas)]]</f>
        <v>0.1</v>
      </c>
      <c r="X1110" s="205"/>
    </row>
    <row r="1111" spans="2:24" ht="17.7" hidden="1" customHeight="1">
      <c r="B1111" s="39" t="s">
        <v>26</v>
      </c>
      <c r="C1111" s="39" t="s">
        <v>26</v>
      </c>
      <c r="D1111" s="390" t="s">
        <v>1349</v>
      </c>
      <c r="E1111" s="393" t="s">
        <v>1331</v>
      </c>
      <c r="F1111" s="392" t="s">
        <v>369</v>
      </c>
      <c r="G1111" s="394" t="s">
        <v>372</v>
      </c>
      <c r="H1111" s="396" t="str">
        <f>Table1[[#This Row],[Tabela]]&amp;Table1[[#This Row],[Campo]]</f>
        <v>lt004_protectiontyp_epc_lbl</v>
      </c>
      <c r="I1111" s="2" t="s">
        <v>613</v>
      </c>
      <c r="J1111" s="45">
        <f>VLOOKUP(Table1[[#This Row],[Status]],Auxiliar!$B$16:$C$24,2,0)</f>
        <v>1</v>
      </c>
      <c r="K1111" s="45" t="s">
        <v>1246</v>
      </c>
      <c r="L1111" s="46" t="s">
        <v>1252</v>
      </c>
      <c r="M1111" s="21" t="s">
        <v>1253</v>
      </c>
      <c r="N1111" s="48">
        <v>45642</v>
      </c>
      <c r="O1111" s="21">
        <f>INDEX(Auxiliar!$D$5:$F$13,MATCH(Table1[[#This Row],[Tipologia_Testes]],Auxiliar!$B$5:$B$13,0),MATCH(Table1[[#This Row],[Complexidade]],Auxiliar!$D$4:$F$4,0))</f>
        <v>2</v>
      </c>
      <c r="P1111" s="43" t="s">
        <v>1350</v>
      </c>
      <c r="Q1111" s="43"/>
      <c r="R1111" s="152">
        <v>45583</v>
      </c>
      <c r="S1111" s="152"/>
      <c r="T1111" s="152">
        <v>45583</v>
      </c>
      <c r="U1111" s="152">
        <v>45596</v>
      </c>
      <c r="V1111" s="152">
        <v>45596</v>
      </c>
      <c r="W1111" s="2">
        <f>VLOOKUP(Table1[[#This Row],[Status]],Auxiliar!$B$16:$D$24,3,0)*Table1[[#This Row],[Estimação (horas)]]</f>
        <v>2</v>
      </c>
      <c r="X1111" s="114"/>
    </row>
    <row r="1112" spans="2:24" ht="17.7" hidden="1" customHeight="1">
      <c r="B1112" s="39" t="s">
        <v>26</v>
      </c>
      <c r="C1112" s="39" t="s">
        <v>26</v>
      </c>
      <c r="D1112" s="39" t="s">
        <v>1349</v>
      </c>
      <c r="E1112" s="39" t="s">
        <v>1331</v>
      </c>
      <c r="F1112" s="39" t="s">
        <v>369</v>
      </c>
      <c r="G1112" s="39" t="s">
        <v>372</v>
      </c>
      <c r="H1112" s="59" t="str">
        <f>Table1[[#This Row],[Tabela]]&amp;Table1[[#This Row],[Campo]]</f>
        <v>lt004_protectiontyp_epc_lbl</v>
      </c>
      <c r="I1112" s="2" t="s">
        <v>613</v>
      </c>
      <c r="J1112" s="45">
        <f>VLOOKUP(Table1[[#This Row],[Status]],Auxiliar!$B$16:$C$24,2,0)</f>
        <v>1</v>
      </c>
      <c r="K1112" s="45" t="s">
        <v>1247</v>
      </c>
      <c r="L1112" s="46" t="s">
        <v>1252</v>
      </c>
      <c r="M1112" s="21" t="s">
        <v>1253</v>
      </c>
      <c r="N1112" s="48">
        <v>45642</v>
      </c>
      <c r="O1112" s="21">
        <f>INDEX(Auxiliar!$D$5:$F$13,MATCH(Table1[[#This Row],[Tipologia_Testes]],Auxiliar!$B$5:$B$13,0),MATCH(Table1[[#This Row],[Complexidade]],Auxiliar!$D$4:$F$4,0))</f>
        <v>2</v>
      </c>
      <c r="P1112" s="43" t="s">
        <v>1350</v>
      </c>
      <c r="Q1112" s="43"/>
      <c r="R1112" s="152">
        <v>45583</v>
      </c>
      <c r="S1112" s="152"/>
      <c r="T1112" s="152">
        <v>45583</v>
      </c>
      <c r="U1112" s="152">
        <v>45596</v>
      </c>
      <c r="V1112" s="152">
        <v>45596</v>
      </c>
      <c r="W1112" s="2">
        <f>VLOOKUP(Table1[[#This Row],[Status]],Auxiliar!$B$16:$D$24,3,0)*Table1[[#This Row],[Estimação (horas)]]</f>
        <v>2</v>
      </c>
      <c r="X1112" s="114"/>
    </row>
    <row r="1113" spans="2:24" ht="17.7" hidden="1" customHeight="1">
      <c r="B1113" s="41" t="s">
        <v>26</v>
      </c>
      <c r="C1113" s="41" t="s">
        <v>26</v>
      </c>
      <c r="D1113" s="43" t="s">
        <v>1349</v>
      </c>
      <c r="E1113" s="43" t="s">
        <v>1331</v>
      </c>
      <c r="F1113" s="43" t="s">
        <v>369</v>
      </c>
      <c r="G1113" s="43" t="s">
        <v>372</v>
      </c>
      <c r="H1113" s="57" t="str">
        <f>Table1[[#This Row],[Tabela]]&amp;Table1[[#This Row],[Campo]]</f>
        <v>lt004_protectiontyp_epc_lbl</v>
      </c>
      <c r="I1113" s="2" t="s">
        <v>613</v>
      </c>
      <c r="J1113" s="45">
        <f>VLOOKUP(Table1[[#This Row],[Status]],Auxiliar!$B$16:$C$24,2,0)</f>
        <v>1</v>
      </c>
      <c r="K1113" s="45" t="s">
        <v>1249</v>
      </c>
      <c r="L1113" s="46" t="s">
        <v>1252</v>
      </c>
      <c r="M1113" s="21" t="s">
        <v>1253</v>
      </c>
      <c r="N1113" s="48">
        <v>45642</v>
      </c>
      <c r="O1113" s="21">
        <f>INDEX(Auxiliar!$D$5:$F$13,MATCH(Table1[[#This Row],[Tipologia_Testes]],Auxiliar!$B$5:$B$13,0),MATCH(Table1[[#This Row],[Complexidade]],Auxiliar!$D$4:$F$4,0))</f>
        <v>0.1</v>
      </c>
      <c r="P1113" s="43" t="s">
        <v>1350</v>
      </c>
      <c r="Q1113" s="43"/>
      <c r="R1113" s="152">
        <v>45583</v>
      </c>
      <c r="S1113" s="152"/>
      <c r="T1113" s="152">
        <v>45583</v>
      </c>
      <c r="U1113" s="152">
        <v>45596</v>
      </c>
      <c r="V1113" s="152">
        <v>45596</v>
      </c>
      <c r="W1113" s="2">
        <f>VLOOKUP(Table1[[#This Row],[Status]],Auxiliar!$B$16:$D$24,3,0)*Table1[[#This Row],[Estimação (horas)]]</f>
        <v>0.1</v>
      </c>
      <c r="X1113" s="114"/>
    </row>
    <row r="1114" spans="2:24" ht="17.7" hidden="1" customHeight="1">
      <c r="B1114" s="39" t="s">
        <v>26</v>
      </c>
      <c r="C1114" s="39" t="s">
        <v>26</v>
      </c>
      <c r="D1114" s="390" t="s">
        <v>1349</v>
      </c>
      <c r="E1114" s="393" t="s">
        <v>1331</v>
      </c>
      <c r="F1114" s="392" t="s">
        <v>369</v>
      </c>
      <c r="G1114" s="394" t="s">
        <v>370</v>
      </c>
      <c r="H1114" s="396" t="str">
        <f>Table1[[#This Row],[Tabela]]&amp;Table1[[#This Row],[Campo]]</f>
        <v>lt004_protectiontyp_ep_scr</v>
      </c>
      <c r="I1114" s="2" t="s">
        <v>613</v>
      </c>
      <c r="J1114" s="45">
        <f>VLOOKUP(Table1[[#This Row],[Status]],Auxiliar!$B$16:$C$24,2,0)</f>
        <v>1</v>
      </c>
      <c r="K1114" s="45" t="s">
        <v>1246</v>
      </c>
      <c r="L1114" s="46" t="s">
        <v>1252</v>
      </c>
      <c r="M1114" s="21" t="s">
        <v>1253</v>
      </c>
      <c r="N1114" s="48">
        <v>45632</v>
      </c>
      <c r="O1114" s="21">
        <f>INDEX(Auxiliar!$D$5:$F$13,MATCH(Table1[[#This Row],[Tipologia_Testes]],Auxiliar!$B$5:$B$13,0),MATCH(Table1[[#This Row],[Complexidade]],Auxiliar!$D$4:$F$4,0))</f>
        <v>2</v>
      </c>
      <c r="P1114" s="43"/>
      <c r="Q1114" s="152"/>
      <c r="R1114" s="152">
        <v>45583</v>
      </c>
      <c r="S1114" s="152"/>
      <c r="T1114" s="152">
        <v>45583</v>
      </c>
      <c r="U1114" s="152">
        <v>45611</v>
      </c>
      <c r="V1114" s="152">
        <v>45611</v>
      </c>
      <c r="W1114" s="2">
        <f>VLOOKUP(Table1[[#This Row],[Status]],Auxiliar!$B$16:$D$24,3,0)*Table1[[#This Row],[Estimação (horas)]]</f>
        <v>2</v>
      </c>
      <c r="X1114" s="114"/>
    </row>
    <row r="1115" spans="2:24" ht="17.7" hidden="1" customHeight="1">
      <c r="B1115" s="39" t="s">
        <v>26</v>
      </c>
      <c r="C1115" s="39" t="s">
        <v>26</v>
      </c>
      <c r="D1115" s="39" t="s">
        <v>1349</v>
      </c>
      <c r="E1115" s="39" t="s">
        <v>1331</v>
      </c>
      <c r="F1115" s="39" t="s">
        <v>369</v>
      </c>
      <c r="G1115" s="39" t="s">
        <v>370</v>
      </c>
      <c r="H1115" s="59" t="str">
        <f>Table1[[#This Row],[Tabela]]&amp;Table1[[#This Row],[Campo]]</f>
        <v>lt004_protectiontyp_ep_scr</v>
      </c>
      <c r="I1115" s="2" t="s">
        <v>613</v>
      </c>
      <c r="J1115" s="45">
        <f>VLOOKUP(Table1[[#This Row],[Status]],Auxiliar!$B$16:$C$24,2,0)</f>
        <v>1</v>
      </c>
      <c r="K1115" s="45" t="s">
        <v>1247</v>
      </c>
      <c r="L1115" s="46" t="s">
        <v>1252</v>
      </c>
      <c r="M1115" s="21" t="s">
        <v>1253</v>
      </c>
      <c r="N1115" s="48">
        <v>45632</v>
      </c>
      <c r="O1115" s="21">
        <f>INDEX(Auxiliar!$D$5:$F$13,MATCH(Table1[[#This Row],[Tipologia_Testes]],Auxiliar!$B$5:$B$13,0),MATCH(Table1[[#This Row],[Complexidade]],Auxiliar!$D$4:$F$4,0))</f>
        <v>2</v>
      </c>
      <c r="P1115" s="43"/>
      <c r="Q1115" s="152"/>
      <c r="R1115" s="152">
        <v>45583</v>
      </c>
      <c r="S1115" s="152"/>
      <c r="T1115" s="152">
        <v>45583</v>
      </c>
      <c r="U1115" s="152">
        <v>45611</v>
      </c>
      <c r="V1115" s="152">
        <v>45611</v>
      </c>
      <c r="W1115" s="2">
        <f>VLOOKUP(Table1[[#This Row],[Status]],Auxiliar!$B$16:$D$24,3,0)*Table1[[#This Row],[Estimação (horas)]]</f>
        <v>2</v>
      </c>
      <c r="X1115" s="114"/>
    </row>
    <row r="1116" spans="2:24" ht="17.7" hidden="1" customHeight="1">
      <c r="B1116" s="41" t="s">
        <v>26</v>
      </c>
      <c r="C1116" s="41" t="s">
        <v>26</v>
      </c>
      <c r="D1116" s="43" t="s">
        <v>1349</v>
      </c>
      <c r="E1116" s="43" t="s">
        <v>1331</v>
      </c>
      <c r="F1116" s="43" t="s">
        <v>369</v>
      </c>
      <c r="G1116" s="43" t="s">
        <v>370</v>
      </c>
      <c r="H1116" s="57" t="str">
        <f>Table1[[#This Row],[Tabela]]&amp;Table1[[#This Row],[Campo]]</f>
        <v>lt004_protectiontyp_ep_scr</v>
      </c>
      <c r="I1116" s="2" t="s">
        <v>613</v>
      </c>
      <c r="J1116" s="45">
        <f>VLOOKUP(Table1[[#This Row],[Status]],Auxiliar!$B$16:$C$24,2,0)</f>
        <v>1</v>
      </c>
      <c r="K1116" s="45" t="s">
        <v>1249</v>
      </c>
      <c r="L1116" s="46" t="s">
        <v>1252</v>
      </c>
      <c r="M1116" s="21" t="s">
        <v>1253</v>
      </c>
      <c r="N1116" s="48">
        <v>45632</v>
      </c>
      <c r="O1116" s="21">
        <f>INDEX(Auxiliar!$D$5:$F$13,MATCH(Table1[[#This Row],[Tipologia_Testes]],Auxiliar!$B$5:$B$13,0),MATCH(Table1[[#This Row],[Complexidade]],Auxiliar!$D$4:$F$4,0))</f>
        <v>0.1</v>
      </c>
      <c r="P1116" s="43"/>
      <c r="Q1116" s="397"/>
      <c r="R1116" s="152">
        <v>45583</v>
      </c>
      <c r="S1116" s="152"/>
      <c r="T1116" s="152">
        <v>45583</v>
      </c>
      <c r="U1116" s="152">
        <v>45611</v>
      </c>
      <c r="V1116" s="152">
        <v>45611</v>
      </c>
      <c r="W1116" s="2">
        <f>VLOOKUP(Table1[[#This Row],[Status]],Auxiliar!$B$16:$D$24,3,0)*Table1[[#This Row],[Estimação (horas)]]</f>
        <v>0.1</v>
      </c>
      <c r="X1116" s="114"/>
    </row>
    <row r="1117" spans="2:24" ht="17.7" hidden="1" customHeight="1">
      <c r="B1117" s="39" t="s">
        <v>26</v>
      </c>
      <c r="C1117" s="39" t="s">
        <v>26</v>
      </c>
      <c r="D1117" s="20" t="s">
        <v>400</v>
      </c>
      <c r="E1117" s="392" t="s">
        <v>38</v>
      </c>
      <c r="F1117" s="20" t="s">
        <v>369</v>
      </c>
      <c r="G1117" s="20" t="s">
        <v>436</v>
      </c>
      <c r="H1117" s="59" t="str">
        <f>Table1[[#This Row],[Tabela]]&amp;Table1[[#This Row],[Campo]]</f>
        <v>lt004_protectionrl_estt_pst_cd</v>
      </c>
      <c r="I1117" s="2" t="s">
        <v>613</v>
      </c>
      <c r="J1117" s="45">
        <f>VLOOKUP(Table1[[#This Row],[Status]],Auxiliar!$B$16:$C$24,2,0)</f>
        <v>1</v>
      </c>
      <c r="K1117" s="44" t="s">
        <v>1251</v>
      </c>
      <c r="L1117" s="46" t="s">
        <v>1252</v>
      </c>
      <c r="M1117" s="21" t="s">
        <v>1253</v>
      </c>
      <c r="N1117" s="48">
        <v>45632</v>
      </c>
      <c r="O1117" s="113">
        <v>0.1</v>
      </c>
      <c r="P1117" s="2"/>
      <c r="Q1117" s="397"/>
      <c r="R1117" s="152">
        <v>45589</v>
      </c>
      <c r="S1117" s="152"/>
      <c r="T1117" s="152">
        <v>45589</v>
      </c>
      <c r="U1117" s="152">
        <v>45611</v>
      </c>
      <c r="V1117" s="152">
        <v>45611</v>
      </c>
      <c r="W1117" s="2">
        <f>VLOOKUP(Table1[[#This Row],[Status]],Auxiliar!$B$16:$D$24,3,0)*Table1[[#This Row],[Estimação (horas)]]</f>
        <v>0.1</v>
      </c>
      <c r="X1117" s="205"/>
    </row>
    <row r="1118" spans="2:24" ht="17.7" hidden="1" customHeight="1">
      <c r="B1118" s="39" t="s">
        <v>26</v>
      </c>
      <c r="C1118" s="39" t="s">
        <v>26</v>
      </c>
      <c r="D1118" s="20" t="s">
        <v>400</v>
      </c>
      <c r="E1118" s="392" t="s">
        <v>38</v>
      </c>
      <c r="F1118" s="20" t="s">
        <v>369</v>
      </c>
      <c r="G1118" s="20" t="s">
        <v>435</v>
      </c>
      <c r="H1118" s="59" t="str">
        <f>Table1[[#This Row],[Tabela]]&amp;Table1[[#This Row],[Campo]]</f>
        <v>lt004_protectionrl_estt_clltrl_lctn</v>
      </c>
      <c r="I1118" s="2" t="s">
        <v>613</v>
      </c>
      <c r="J1118" s="45">
        <f>VLOOKUP(Table1[[#This Row],[Status]],Auxiliar!$B$16:$C$24,2,0)</f>
        <v>1</v>
      </c>
      <c r="K1118" s="44" t="s">
        <v>1251</v>
      </c>
      <c r="L1118" s="46" t="s">
        <v>1252</v>
      </c>
      <c r="M1118" s="21" t="s">
        <v>1253</v>
      </c>
      <c r="N1118" s="48">
        <v>45632</v>
      </c>
      <c r="O1118" s="113">
        <v>0.1</v>
      </c>
      <c r="P1118" s="2"/>
      <c r="Q1118" s="397"/>
      <c r="R1118" s="152">
        <v>45589</v>
      </c>
      <c r="S1118" s="152"/>
      <c r="T1118" s="152">
        <v>45589</v>
      </c>
      <c r="U1118" s="152">
        <v>45611</v>
      </c>
      <c r="V1118" s="152">
        <v>45611</v>
      </c>
      <c r="W1118" s="2">
        <f>VLOOKUP(Table1[[#This Row],[Status]],Auxiliar!$B$16:$D$24,3,0)*Table1[[#This Row],[Estimação (horas)]]</f>
        <v>0.1</v>
      </c>
      <c r="X1118" s="205"/>
    </row>
    <row r="1119" spans="2:24" ht="17.7" hidden="1" customHeight="1">
      <c r="B1119" s="41" t="s">
        <v>26</v>
      </c>
      <c r="C1119" s="41" t="s">
        <v>26</v>
      </c>
      <c r="D1119" s="2" t="s">
        <v>400</v>
      </c>
      <c r="E1119" s="40" t="s">
        <v>38</v>
      </c>
      <c r="F1119" s="2" t="s">
        <v>369</v>
      </c>
      <c r="G1119" s="2" t="s">
        <v>439</v>
      </c>
      <c r="H1119" s="57" t="str">
        <f>Table1[[#This Row],[Tabela]]&amp;Table1[[#This Row],[Campo]]</f>
        <v>lt004_protectionprtctn_vl</v>
      </c>
      <c r="I1119" s="2" t="s">
        <v>613</v>
      </c>
      <c r="J1119" s="45">
        <f>VLOOKUP(Table1[[#This Row],[Status]],Auxiliar!$B$16:$C$24,2,0)</f>
        <v>1</v>
      </c>
      <c r="K1119" s="44" t="s">
        <v>1251</v>
      </c>
      <c r="L1119" s="46" t="s">
        <v>1252</v>
      </c>
      <c r="M1119" s="21" t="s">
        <v>1253</v>
      </c>
      <c r="N1119" s="48">
        <v>45667</v>
      </c>
      <c r="O1119" s="113">
        <v>0.1</v>
      </c>
      <c r="P1119" s="2"/>
      <c r="Q1119" s="397"/>
      <c r="R1119" s="152">
        <v>45589</v>
      </c>
      <c r="S1119" s="152"/>
      <c r="T1119" s="152">
        <v>45589</v>
      </c>
      <c r="U1119" s="152">
        <v>45624</v>
      </c>
      <c r="V1119" s="152">
        <v>45624</v>
      </c>
      <c r="W1119" s="2">
        <f>VLOOKUP(Table1[[#This Row],[Status]],Auxiliar!$B$16:$D$24,3,0)*Table1[[#This Row],[Estimação (horas)]]</f>
        <v>0.1</v>
      </c>
      <c r="X1119" s="205"/>
    </row>
    <row r="1120" spans="2:24" ht="17.7" hidden="1" customHeight="1">
      <c r="B1120" s="39" t="s">
        <v>26</v>
      </c>
      <c r="C1120" s="39" t="s">
        <v>26</v>
      </c>
      <c r="D1120" s="20" t="s">
        <v>400</v>
      </c>
      <c r="E1120" s="392" t="s">
        <v>38</v>
      </c>
      <c r="F1120" s="20" t="s">
        <v>369</v>
      </c>
      <c r="G1120" s="20" t="s">
        <v>434</v>
      </c>
      <c r="H1120" s="59" t="str">
        <f>Table1[[#This Row],[Tabela]]&amp;Table1[[#This Row],[Campo]]</f>
        <v>lt004_protectionprtctn_id</v>
      </c>
      <c r="I1120" s="2" t="s">
        <v>613</v>
      </c>
      <c r="J1120" s="45">
        <f>VLOOKUP(Table1[[#This Row],[Status]],Auxiliar!$B$16:$C$24,2,0)</f>
        <v>1</v>
      </c>
      <c r="K1120" s="44" t="s">
        <v>1251</v>
      </c>
      <c r="L1120" s="46" t="s">
        <v>1252</v>
      </c>
      <c r="M1120" s="21" t="s">
        <v>1253</v>
      </c>
      <c r="N1120" s="48">
        <v>45642</v>
      </c>
      <c r="O1120" s="113">
        <v>0.1</v>
      </c>
      <c r="P1120" s="2"/>
      <c r="Q1120" s="397"/>
      <c r="R1120" s="152">
        <v>45589</v>
      </c>
      <c r="S1120" s="152"/>
      <c r="T1120" s="152">
        <v>45589</v>
      </c>
      <c r="U1120" s="152">
        <v>45611</v>
      </c>
      <c r="V1120" s="152">
        <v>45611</v>
      </c>
      <c r="W1120" s="2">
        <f>VLOOKUP(Table1[[#This Row],[Status]],Auxiliar!$B$16:$D$24,3,0)*Table1[[#This Row],[Estimação (horas)]]</f>
        <v>0.1</v>
      </c>
      <c r="X1120" s="205"/>
    </row>
    <row r="1121" spans="2:24" ht="17.7" hidden="1" customHeight="1">
      <c r="B1121" s="39" t="s">
        <v>26</v>
      </c>
      <c r="C1121" s="39" t="s">
        <v>26</v>
      </c>
      <c r="D1121" s="20" t="s">
        <v>400</v>
      </c>
      <c r="E1121" s="392" t="s">
        <v>38</v>
      </c>
      <c r="F1121" s="20" t="s">
        <v>369</v>
      </c>
      <c r="G1121" s="20" t="s">
        <v>438</v>
      </c>
      <c r="H1121" s="59" t="str">
        <f>Table1[[#This Row],[Tabela]]&amp;Table1[[#This Row],[Campo]]</f>
        <v>lt004_protectionorgnl_prtctn_vl</v>
      </c>
      <c r="I1121" s="2" t="s">
        <v>616</v>
      </c>
      <c r="J1121" s="45">
        <f>VLOOKUP(Table1[[#This Row],[Status]],Auxiliar!$B$16:$C$24,2,0)</f>
        <v>6</v>
      </c>
      <c r="K1121" s="44" t="s">
        <v>1251</v>
      </c>
      <c r="L1121" s="46" t="s">
        <v>1252</v>
      </c>
      <c r="M1121" s="21" t="s">
        <v>1253</v>
      </c>
      <c r="N1121" s="48">
        <v>45649</v>
      </c>
      <c r="O1121" s="253">
        <v>0.1</v>
      </c>
      <c r="P1121" s="2" t="s">
        <v>2004</v>
      </c>
      <c r="Q1121" s="397"/>
      <c r="R1121" s="152">
        <v>45595</v>
      </c>
      <c r="S1121" s="152"/>
      <c r="T1121" s="152">
        <v>45595</v>
      </c>
      <c r="U1121" s="152">
        <v>45611</v>
      </c>
      <c r="V1121" s="152">
        <v>45611</v>
      </c>
      <c r="W1121" s="2">
        <f>VLOOKUP(Table1[[#This Row],[Status]],Auxiliar!$B$16:$D$24,3,0)*Table1[[#This Row],[Estimação (horas)]]</f>
        <v>2.5000000000000001E-2</v>
      </c>
      <c r="X1121" s="205"/>
    </row>
    <row r="1122" spans="2:24" ht="52.2" hidden="1" customHeight="1">
      <c r="B1122" s="41" t="s">
        <v>26</v>
      </c>
      <c r="C1122" s="41" t="s">
        <v>26</v>
      </c>
      <c r="D1122" s="37" t="s">
        <v>1349</v>
      </c>
      <c r="E1122" s="42" t="s">
        <v>1331</v>
      </c>
      <c r="F1122" s="40" t="s">
        <v>369</v>
      </c>
      <c r="G1122" s="38" t="s">
        <v>379</v>
      </c>
      <c r="H1122" s="60" t="str">
        <f>Table1[[#This Row],[Tabela]]&amp;Table1[[#This Row],[Campo]]</f>
        <v>lt004_protectionmthd_usd_prtctn_scp_3</v>
      </c>
      <c r="I1122" s="2" t="s">
        <v>613</v>
      </c>
      <c r="J1122" s="45">
        <f>VLOOKUP(Table1[[#This Row],[Status]],Auxiliar!$B$16:$C$24,2,0)</f>
        <v>1</v>
      </c>
      <c r="K1122" s="45" t="s">
        <v>1246</v>
      </c>
      <c r="L1122" s="46" t="s">
        <v>1252</v>
      </c>
      <c r="M1122" s="21" t="s">
        <v>1253</v>
      </c>
      <c r="N1122" s="48">
        <v>45667</v>
      </c>
      <c r="O1122" s="21">
        <f>INDEX(Auxiliar!$D$5:$F$13,MATCH(Table1[[#This Row],[Tipologia_Testes]],Auxiliar!$B$5:$B$13,0),MATCH(Table1[[#This Row],[Complexidade]],Auxiliar!$D$4:$F$4,0))</f>
        <v>2</v>
      </c>
      <c r="P1122" s="43" t="s">
        <v>1350</v>
      </c>
      <c r="Q1122" s="397"/>
      <c r="R1122" s="152">
        <v>45622</v>
      </c>
      <c r="S1122" s="152"/>
      <c r="T1122" s="152"/>
      <c r="U1122" s="152">
        <v>45631</v>
      </c>
      <c r="V1122" s="152">
        <v>45631</v>
      </c>
      <c r="W1122" s="2">
        <f>VLOOKUP(Table1[[#This Row],[Status]],Auxiliar!$B$16:$D$24,3,0)*Table1[[#This Row],[Estimação (horas)]]</f>
        <v>2</v>
      </c>
      <c r="X1122" s="114"/>
    </row>
    <row r="1123" spans="2:24" ht="17.7" hidden="1" customHeight="1">
      <c r="B1123" s="39" t="s">
        <v>26</v>
      </c>
      <c r="C1123" s="39" t="s">
        <v>26</v>
      </c>
      <c r="D1123" s="39" t="s">
        <v>1349</v>
      </c>
      <c r="E1123" s="39" t="s">
        <v>1331</v>
      </c>
      <c r="F1123" s="39" t="s">
        <v>369</v>
      </c>
      <c r="G1123" s="39" t="s">
        <v>379</v>
      </c>
      <c r="H1123" s="59" t="str">
        <f>Table1[[#This Row],[Tabela]]&amp;Table1[[#This Row],[Campo]]</f>
        <v>lt004_protectionmthd_usd_prtctn_scp_3</v>
      </c>
      <c r="I1123" s="2" t="s">
        <v>613</v>
      </c>
      <c r="J1123" s="45">
        <f>VLOOKUP(Table1[[#This Row],[Status]],Auxiliar!$B$16:$C$24,2,0)</f>
        <v>1</v>
      </c>
      <c r="K1123" s="45" t="s">
        <v>1247</v>
      </c>
      <c r="L1123" s="46" t="s">
        <v>1252</v>
      </c>
      <c r="M1123" s="21" t="s">
        <v>1253</v>
      </c>
      <c r="N1123" s="48">
        <v>45667</v>
      </c>
      <c r="O1123" s="21">
        <f>INDEX(Auxiliar!$D$5:$F$13,MATCH(Table1[[#This Row],[Tipologia_Testes]],Auxiliar!$B$5:$B$13,0),MATCH(Table1[[#This Row],[Complexidade]],Auxiliar!$D$4:$F$4,0))</f>
        <v>2</v>
      </c>
      <c r="P1123" s="43" t="s">
        <v>1350</v>
      </c>
      <c r="Q1123" s="397"/>
      <c r="R1123" s="152">
        <v>45622</v>
      </c>
      <c r="S1123" s="152"/>
      <c r="T1123" s="152"/>
      <c r="U1123" s="152">
        <v>45631</v>
      </c>
      <c r="V1123" s="152">
        <v>45631</v>
      </c>
      <c r="W1123" s="2">
        <f>VLOOKUP(Table1[[#This Row],[Status]],Auxiliar!$B$16:$D$24,3,0)*Table1[[#This Row],[Estimação (horas)]]</f>
        <v>2</v>
      </c>
      <c r="X1123" s="114"/>
    </row>
    <row r="1124" spans="2:24" ht="17.7" hidden="1" customHeight="1">
      <c r="B1124" s="39" t="s">
        <v>26</v>
      </c>
      <c r="C1124" s="39" t="s">
        <v>26</v>
      </c>
      <c r="D1124" s="39" t="s">
        <v>1349</v>
      </c>
      <c r="E1124" s="39" t="s">
        <v>1331</v>
      </c>
      <c r="F1124" s="39" t="s">
        <v>369</v>
      </c>
      <c r="G1124" s="39" t="s">
        <v>379</v>
      </c>
      <c r="H1124" s="59" t="str">
        <f>Table1[[#This Row],[Tabela]]&amp;Table1[[#This Row],[Campo]]</f>
        <v>lt004_protectionmthd_usd_prtctn_scp_3</v>
      </c>
      <c r="I1124" s="2" t="s">
        <v>613</v>
      </c>
      <c r="J1124" s="45">
        <f>VLOOKUP(Table1[[#This Row],[Status]],Auxiliar!$B$16:$C$24,2,0)</f>
        <v>1</v>
      </c>
      <c r="K1124" s="45" t="s">
        <v>1249</v>
      </c>
      <c r="L1124" s="46" t="s">
        <v>1252</v>
      </c>
      <c r="M1124" s="21" t="s">
        <v>1253</v>
      </c>
      <c r="N1124" s="48">
        <v>45667</v>
      </c>
      <c r="O1124" s="21">
        <f>INDEX(Auxiliar!$D$5:$F$13,MATCH(Table1[[#This Row],[Tipologia_Testes]],Auxiliar!$B$5:$B$13,0),MATCH(Table1[[#This Row],[Complexidade]],Auxiliar!$D$4:$F$4,0))</f>
        <v>0.1</v>
      </c>
      <c r="P1124" s="43" t="s">
        <v>1350</v>
      </c>
      <c r="Q1124" s="397"/>
      <c r="R1124" s="152">
        <v>45622</v>
      </c>
      <c r="S1124" s="152"/>
      <c r="T1124" s="152"/>
      <c r="U1124" s="152">
        <v>45631</v>
      </c>
      <c r="V1124" s="152">
        <v>45631</v>
      </c>
      <c r="W1124" s="2">
        <f>VLOOKUP(Table1[[#This Row],[Status]],Auxiliar!$B$16:$D$24,3,0)*Table1[[#This Row],[Estimação (horas)]]</f>
        <v>0.1</v>
      </c>
      <c r="X1124" s="114"/>
    </row>
    <row r="1125" spans="2:24" ht="52.2" hidden="1" customHeight="1">
      <c r="B1125" s="41" t="s">
        <v>26</v>
      </c>
      <c r="C1125" s="41" t="s">
        <v>26</v>
      </c>
      <c r="D1125" s="37" t="s">
        <v>1349</v>
      </c>
      <c r="E1125" s="42" t="s">
        <v>1331</v>
      </c>
      <c r="F1125" s="40" t="s">
        <v>369</v>
      </c>
      <c r="G1125" s="38" t="s">
        <v>378</v>
      </c>
      <c r="H1125" s="60" t="str">
        <f>Table1[[#This Row],[Tabela]]&amp;Table1[[#This Row],[Campo]]</f>
        <v>lt004_protectionmthd_usd_prtctn_scp_2</v>
      </c>
      <c r="I1125" s="2" t="s">
        <v>613</v>
      </c>
      <c r="J1125" s="45">
        <f>VLOOKUP(Table1[[#This Row],[Status]],Auxiliar!$B$16:$C$24,2,0)</f>
        <v>1</v>
      </c>
      <c r="K1125" s="45" t="s">
        <v>1246</v>
      </c>
      <c r="L1125" s="46" t="s">
        <v>1252</v>
      </c>
      <c r="M1125" s="21" t="s">
        <v>1253</v>
      </c>
      <c r="N1125" s="48">
        <v>45667</v>
      </c>
      <c r="O1125" s="21">
        <f>INDEX(Auxiliar!$D$5:$F$13,MATCH(Table1[[#This Row],[Tipologia_Testes]],Auxiliar!$B$5:$B$13,0),MATCH(Table1[[#This Row],[Complexidade]],Auxiliar!$D$4:$F$4,0))</f>
        <v>2</v>
      </c>
      <c r="P1125" s="43" t="s">
        <v>1350</v>
      </c>
      <c r="Q1125" s="152"/>
      <c r="R1125" s="152">
        <v>45622</v>
      </c>
      <c r="S1125" s="152"/>
      <c r="T1125" s="152"/>
      <c r="U1125" s="152">
        <v>45631</v>
      </c>
      <c r="V1125" s="152">
        <v>45631</v>
      </c>
      <c r="W1125" s="2">
        <f>VLOOKUP(Table1[[#This Row],[Status]],Auxiliar!$B$16:$D$24,3,0)*Table1[[#This Row],[Estimação (horas)]]</f>
        <v>2</v>
      </c>
      <c r="X1125" s="114"/>
    </row>
    <row r="1126" spans="2:24" ht="17.7" hidden="1" customHeight="1">
      <c r="B1126" s="39" t="s">
        <v>26</v>
      </c>
      <c r="C1126" s="39" t="s">
        <v>26</v>
      </c>
      <c r="D1126" s="39" t="s">
        <v>1349</v>
      </c>
      <c r="E1126" s="39" t="s">
        <v>1331</v>
      </c>
      <c r="F1126" s="39" t="s">
        <v>369</v>
      </c>
      <c r="G1126" s="39" t="s">
        <v>378</v>
      </c>
      <c r="H1126" s="59" t="str">
        <f>Table1[[#This Row],[Tabela]]&amp;Table1[[#This Row],[Campo]]</f>
        <v>lt004_protectionmthd_usd_prtctn_scp_2</v>
      </c>
      <c r="I1126" s="2" t="s">
        <v>613</v>
      </c>
      <c r="J1126" s="45">
        <f>VLOOKUP(Table1[[#This Row],[Status]],Auxiliar!$B$16:$C$24,2,0)</f>
        <v>1</v>
      </c>
      <c r="K1126" s="45" t="s">
        <v>1247</v>
      </c>
      <c r="L1126" s="46" t="s">
        <v>1252</v>
      </c>
      <c r="M1126" s="21" t="s">
        <v>1253</v>
      </c>
      <c r="N1126" s="48">
        <v>45667</v>
      </c>
      <c r="O1126" s="21">
        <f>INDEX(Auxiliar!$D$5:$F$13,MATCH(Table1[[#This Row],[Tipologia_Testes]],Auxiliar!$B$5:$B$13,0),MATCH(Table1[[#This Row],[Complexidade]],Auxiliar!$D$4:$F$4,0))</f>
        <v>2</v>
      </c>
      <c r="P1126" s="43" t="s">
        <v>1350</v>
      </c>
      <c r="Q1126" s="152"/>
      <c r="R1126" s="152">
        <v>45622</v>
      </c>
      <c r="S1126" s="152"/>
      <c r="T1126" s="152"/>
      <c r="U1126" s="152">
        <v>45631</v>
      </c>
      <c r="V1126" s="152">
        <v>45631</v>
      </c>
      <c r="W1126" s="2">
        <f>VLOOKUP(Table1[[#This Row],[Status]],Auxiliar!$B$16:$D$24,3,0)*Table1[[#This Row],[Estimação (horas)]]</f>
        <v>2</v>
      </c>
      <c r="X1126" s="114"/>
    </row>
    <row r="1127" spans="2:24" ht="17.7" hidden="1" customHeight="1">
      <c r="B1127" s="39" t="s">
        <v>26</v>
      </c>
      <c r="C1127" s="39" t="s">
        <v>26</v>
      </c>
      <c r="D1127" s="39" t="s">
        <v>1349</v>
      </c>
      <c r="E1127" s="39" t="s">
        <v>1331</v>
      </c>
      <c r="F1127" s="39" t="s">
        <v>369</v>
      </c>
      <c r="G1127" s="39" t="s">
        <v>378</v>
      </c>
      <c r="H1127" s="59" t="str">
        <f>Table1[[#This Row],[Tabela]]&amp;Table1[[#This Row],[Campo]]</f>
        <v>lt004_protectionmthd_usd_prtctn_scp_2</v>
      </c>
      <c r="I1127" s="2" t="s">
        <v>613</v>
      </c>
      <c r="J1127" s="45">
        <f>VLOOKUP(Table1[[#This Row],[Status]],Auxiliar!$B$16:$C$24,2,0)</f>
        <v>1</v>
      </c>
      <c r="K1127" s="45" t="s">
        <v>1249</v>
      </c>
      <c r="L1127" s="46" t="s">
        <v>1252</v>
      </c>
      <c r="M1127" s="21" t="s">
        <v>1253</v>
      </c>
      <c r="N1127" s="48">
        <v>45667</v>
      </c>
      <c r="O1127" s="21">
        <f>INDEX(Auxiliar!$D$5:$F$13,MATCH(Table1[[#This Row],[Tipologia_Testes]],Auxiliar!$B$5:$B$13,0),MATCH(Table1[[#This Row],[Complexidade]],Auxiliar!$D$4:$F$4,0))</f>
        <v>0.1</v>
      </c>
      <c r="P1127" s="43" t="s">
        <v>1350</v>
      </c>
      <c r="Q1127" s="152"/>
      <c r="R1127" s="152">
        <v>45622</v>
      </c>
      <c r="S1127" s="152"/>
      <c r="T1127" s="152"/>
      <c r="U1127" s="152">
        <v>45631</v>
      </c>
      <c r="V1127" s="152">
        <v>45631</v>
      </c>
      <c r="W1127" s="2">
        <f>VLOOKUP(Table1[[#This Row],[Status]],Auxiliar!$B$16:$D$24,3,0)*Table1[[#This Row],[Estimação (horas)]]</f>
        <v>0.1</v>
      </c>
      <c r="X1127" s="114"/>
    </row>
    <row r="1128" spans="2:24" ht="52.2" hidden="1" customHeight="1">
      <c r="B1128" s="41" t="s">
        <v>26</v>
      </c>
      <c r="C1128" s="41" t="s">
        <v>26</v>
      </c>
      <c r="D1128" s="37" t="s">
        <v>1349</v>
      </c>
      <c r="E1128" s="42" t="s">
        <v>1331</v>
      </c>
      <c r="F1128" s="40" t="s">
        <v>369</v>
      </c>
      <c r="G1128" s="38" t="s">
        <v>377</v>
      </c>
      <c r="H1128" s="60" t="str">
        <f>Table1[[#This Row],[Tabela]]&amp;Table1[[#This Row],[Campo]]</f>
        <v>lt004_protectionmthd_usd_prtctn_scp_1</v>
      </c>
      <c r="I1128" s="2" t="s">
        <v>613</v>
      </c>
      <c r="J1128" s="45">
        <f>VLOOKUP(Table1[[#This Row],[Status]],Auxiliar!$B$16:$C$24,2,0)</f>
        <v>1</v>
      </c>
      <c r="K1128" s="45" t="s">
        <v>1246</v>
      </c>
      <c r="L1128" s="46" t="s">
        <v>1252</v>
      </c>
      <c r="M1128" s="21" t="s">
        <v>1253</v>
      </c>
      <c r="N1128" s="48">
        <v>45667</v>
      </c>
      <c r="O1128" s="21">
        <f>INDEX(Auxiliar!$D$5:$F$13,MATCH(Table1[[#This Row],[Tipologia_Testes]],Auxiliar!$B$5:$B$13,0),MATCH(Table1[[#This Row],[Complexidade]],Auxiliar!$D$4:$F$4,0))</f>
        <v>2</v>
      </c>
      <c r="P1128" s="43" t="s">
        <v>1350</v>
      </c>
      <c r="Q1128" s="152"/>
      <c r="R1128" s="152">
        <v>45622</v>
      </c>
      <c r="S1128" s="152"/>
      <c r="T1128" s="152"/>
      <c r="U1128" s="152">
        <v>45631</v>
      </c>
      <c r="V1128" s="152">
        <v>45631</v>
      </c>
      <c r="W1128" s="2">
        <f>VLOOKUP(Table1[[#This Row],[Status]],Auxiliar!$B$16:$D$24,3,0)*Table1[[#This Row],[Estimação (horas)]]</f>
        <v>2</v>
      </c>
      <c r="X1128" s="114"/>
    </row>
    <row r="1129" spans="2:24" ht="17.7" hidden="1" customHeight="1">
      <c r="B1129" s="39" t="s">
        <v>26</v>
      </c>
      <c r="C1129" s="39" t="s">
        <v>26</v>
      </c>
      <c r="D1129" s="39" t="s">
        <v>1349</v>
      </c>
      <c r="E1129" s="39" t="s">
        <v>1331</v>
      </c>
      <c r="F1129" s="39" t="s">
        <v>369</v>
      </c>
      <c r="G1129" s="39" t="s">
        <v>377</v>
      </c>
      <c r="H1129" s="59" t="str">
        <f>Table1[[#This Row],[Tabela]]&amp;Table1[[#This Row],[Campo]]</f>
        <v>lt004_protectionmthd_usd_prtctn_scp_1</v>
      </c>
      <c r="I1129" s="2" t="s">
        <v>613</v>
      </c>
      <c r="J1129" s="45">
        <f>VLOOKUP(Table1[[#This Row],[Status]],Auxiliar!$B$16:$C$24,2,0)</f>
        <v>1</v>
      </c>
      <c r="K1129" s="45" t="s">
        <v>1247</v>
      </c>
      <c r="L1129" s="46" t="s">
        <v>1252</v>
      </c>
      <c r="M1129" s="21" t="s">
        <v>1253</v>
      </c>
      <c r="N1129" s="48">
        <v>45667</v>
      </c>
      <c r="O1129" s="21">
        <f>INDEX(Auxiliar!$D$5:$F$13,MATCH(Table1[[#This Row],[Tipologia_Testes]],Auxiliar!$B$5:$B$13,0),MATCH(Table1[[#This Row],[Complexidade]],Auxiliar!$D$4:$F$4,0))</f>
        <v>2</v>
      </c>
      <c r="P1129" s="43" t="s">
        <v>1350</v>
      </c>
      <c r="Q1129" s="152"/>
      <c r="R1129" s="152">
        <v>45622</v>
      </c>
      <c r="S1129" s="152"/>
      <c r="T1129" s="152"/>
      <c r="U1129" s="152">
        <v>45631</v>
      </c>
      <c r="V1129" s="152">
        <v>45631</v>
      </c>
      <c r="W1129" s="2">
        <f>VLOOKUP(Table1[[#This Row],[Status]],Auxiliar!$B$16:$D$24,3,0)*Table1[[#This Row],[Estimação (horas)]]</f>
        <v>2</v>
      </c>
      <c r="X1129" s="114"/>
    </row>
    <row r="1130" spans="2:24" ht="17.7" hidden="1" customHeight="1">
      <c r="B1130" s="39" t="s">
        <v>26</v>
      </c>
      <c r="C1130" s="39" t="s">
        <v>26</v>
      </c>
      <c r="D1130" s="39" t="s">
        <v>1349</v>
      </c>
      <c r="E1130" s="39" t="s">
        <v>1331</v>
      </c>
      <c r="F1130" s="39" t="s">
        <v>369</v>
      </c>
      <c r="G1130" s="39" t="s">
        <v>377</v>
      </c>
      <c r="H1130" s="59" t="str">
        <f>Table1[[#This Row],[Tabela]]&amp;Table1[[#This Row],[Campo]]</f>
        <v>lt004_protectionmthd_usd_prtctn_scp_1</v>
      </c>
      <c r="I1130" s="2" t="s">
        <v>613</v>
      </c>
      <c r="J1130" s="45">
        <f>VLOOKUP(Table1[[#This Row],[Status]],Auxiliar!$B$16:$C$24,2,0)</f>
        <v>1</v>
      </c>
      <c r="K1130" s="45" t="s">
        <v>1249</v>
      </c>
      <c r="L1130" s="46" t="s">
        <v>1252</v>
      </c>
      <c r="M1130" s="21" t="s">
        <v>1253</v>
      </c>
      <c r="N1130" s="48">
        <v>45667</v>
      </c>
      <c r="O1130" s="21">
        <f>INDEX(Auxiliar!$D$5:$F$13,MATCH(Table1[[#This Row],[Tipologia_Testes]],Auxiliar!$B$5:$B$13,0),MATCH(Table1[[#This Row],[Complexidade]],Auxiliar!$D$4:$F$4,0))</f>
        <v>0.1</v>
      </c>
      <c r="P1130" s="43" t="s">
        <v>1350</v>
      </c>
      <c r="Q1130" s="152"/>
      <c r="R1130" s="152">
        <v>45622</v>
      </c>
      <c r="S1130" s="152"/>
      <c r="T1130" s="152"/>
      <c r="U1130" s="152">
        <v>45631</v>
      </c>
      <c r="V1130" s="152">
        <v>45631</v>
      </c>
      <c r="W1130" s="2">
        <f>VLOOKUP(Table1[[#This Row],[Status]],Auxiliar!$B$16:$D$24,3,0)*Table1[[#This Row],[Estimação (horas)]]</f>
        <v>0.1</v>
      </c>
      <c r="X1130" s="114"/>
    </row>
    <row r="1131" spans="2:24" ht="17.7" hidden="1" customHeight="1">
      <c r="B1131" s="41" t="s">
        <v>26</v>
      </c>
      <c r="C1131" s="41" t="s">
        <v>26</v>
      </c>
      <c r="D1131" s="37" t="s">
        <v>478</v>
      </c>
      <c r="E1131" s="40" t="s">
        <v>482</v>
      </c>
      <c r="F1131" s="40" t="s">
        <v>369</v>
      </c>
      <c r="G1131" s="38" t="s">
        <v>482</v>
      </c>
      <c r="H1131" s="60" t="str">
        <f>Table1[[#This Row],[Tabela]]&amp;Table1[[#This Row],[Campo]]</f>
        <v>lt004_protectionflg_pro</v>
      </c>
      <c r="I1131" s="2" t="s">
        <v>613</v>
      </c>
      <c r="J1131" s="45">
        <f>VLOOKUP(Table1[[#This Row],[Status]],Auxiliar!$B$16:$C$24,2,0)</f>
        <v>1</v>
      </c>
      <c r="K1131" s="45" t="s">
        <v>1246</v>
      </c>
      <c r="L1131" s="46" t="s">
        <v>1252</v>
      </c>
      <c r="M1131" s="21" t="s">
        <v>1253</v>
      </c>
      <c r="N1131" s="48">
        <v>45649</v>
      </c>
      <c r="O1131" s="21">
        <f>INDEX(Auxiliar!$D$5:$F$13,MATCH(Table1[[#This Row],[Tipologia_Testes]],Auxiliar!$B$5:$B$13,0),MATCH(Table1[[#This Row],[Complexidade]],Auxiliar!$D$4:$F$4,0))</f>
        <v>2</v>
      </c>
      <c r="P1131" s="43"/>
      <c r="Q1131" s="152"/>
      <c r="R1131" s="152">
        <v>45593</v>
      </c>
      <c r="S1131" s="152"/>
      <c r="T1131" s="152">
        <v>45593</v>
      </c>
      <c r="U1131" s="152">
        <v>45624</v>
      </c>
      <c r="V1131" s="152">
        <v>45624</v>
      </c>
      <c r="W1131" s="2">
        <f>VLOOKUP(Table1[[#This Row],[Status]],Auxiliar!$B$16:$D$24,3,0)*Table1[[#This Row],[Estimação (horas)]]</f>
        <v>2</v>
      </c>
      <c r="X1131" s="114"/>
    </row>
    <row r="1132" spans="2:24" ht="17.7" hidden="1" customHeight="1">
      <c r="B1132" s="39" t="s">
        <v>26</v>
      </c>
      <c r="C1132" s="39" t="s">
        <v>26</v>
      </c>
      <c r="D1132" s="39" t="s">
        <v>478</v>
      </c>
      <c r="E1132" s="39" t="s">
        <v>482</v>
      </c>
      <c r="F1132" s="39" t="s">
        <v>369</v>
      </c>
      <c r="G1132" s="39" t="s">
        <v>482</v>
      </c>
      <c r="H1132" s="59" t="str">
        <f>Table1[[#This Row],[Tabela]]&amp;Table1[[#This Row],[Campo]]</f>
        <v>lt004_protectionflg_pro</v>
      </c>
      <c r="I1132" s="2" t="s">
        <v>613</v>
      </c>
      <c r="J1132" s="45">
        <f>VLOOKUP(Table1[[#This Row],[Status]],Auxiliar!$B$16:$C$24,2,0)</f>
        <v>1</v>
      </c>
      <c r="K1132" s="45" t="s">
        <v>1247</v>
      </c>
      <c r="L1132" s="46" t="s">
        <v>1252</v>
      </c>
      <c r="M1132" s="21" t="s">
        <v>1253</v>
      </c>
      <c r="N1132" s="48">
        <v>45649</v>
      </c>
      <c r="O1132" s="21">
        <f>INDEX(Auxiliar!$D$5:$F$13,MATCH(Table1[[#This Row],[Tipologia_Testes]],Auxiliar!$B$5:$B$13,0),MATCH(Table1[[#This Row],[Complexidade]],Auxiliar!$D$4:$F$4,0))</f>
        <v>2</v>
      </c>
      <c r="P1132" s="43"/>
      <c r="Q1132" s="152"/>
      <c r="R1132" s="152">
        <v>45593</v>
      </c>
      <c r="S1132" s="152"/>
      <c r="T1132" s="152">
        <v>45593</v>
      </c>
      <c r="U1132" s="152">
        <v>45624</v>
      </c>
      <c r="V1132" s="152">
        <v>45624</v>
      </c>
      <c r="W1132" s="2">
        <f>VLOOKUP(Table1[[#This Row],[Status]],Auxiliar!$B$16:$D$24,3,0)*Table1[[#This Row],[Estimação (horas)]]</f>
        <v>2</v>
      </c>
      <c r="X1132" s="114"/>
    </row>
    <row r="1133" spans="2:24" ht="17.7" hidden="1" customHeight="1">
      <c r="B1133" s="39" t="s">
        <v>26</v>
      </c>
      <c r="C1133" s="39" t="s">
        <v>26</v>
      </c>
      <c r="D1133" s="39" t="s">
        <v>478</v>
      </c>
      <c r="E1133" s="39" t="s">
        <v>482</v>
      </c>
      <c r="F1133" s="39" t="s">
        <v>369</v>
      </c>
      <c r="G1133" s="39" t="s">
        <v>482</v>
      </c>
      <c r="H1133" s="59" t="str">
        <f>Table1[[#This Row],[Tabela]]&amp;Table1[[#This Row],[Campo]]</f>
        <v>lt004_protectionflg_pro</v>
      </c>
      <c r="I1133" s="2" t="s">
        <v>613</v>
      </c>
      <c r="J1133" s="45">
        <f>VLOOKUP(Table1[[#This Row],[Status]],Auxiliar!$B$16:$C$24,2,0)</f>
        <v>1</v>
      </c>
      <c r="K1133" s="45" t="s">
        <v>1249</v>
      </c>
      <c r="L1133" s="46" t="s">
        <v>1252</v>
      </c>
      <c r="M1133" s="21" t="s">
        <v>1253</v>
      </c>
      <c r="N1133" s="48">
        <v>45649</v>
      </c>
      <c r="O1133" s="21">
        <f>INDEX(Auxiliar!$D$5:$F$13,MATCH(Table1[[#This Row],[Tipologia_Testes]],Auxiliar!$B$5:$B$13,0),MATCH(Table1[[#This Row],[Complexidade]],Auxiliar!$D$4:$F$4,0))</f>
        <v>0.1</v>
      </c>
      <c r="P1133" s="43"/>
      <c r="Q1133" s="152"/>
      <c r="R1133" s="152">
        <v>45593</v>
      </c>
      <c r="S1133" s="152"/>
      <c r="T1133" s="152">
        <v>45593</v>
      </c>
      <c r="U1133" s="152">
        <v>45624</v>
      </c>
      <c r="V1133" s="152">
        <v>45624</v>
      </c>
      <c r="W1133" s="2">
        <f>VLOOKUP(Table1[[#This Row],[Status]],Auxiliar!$B$16:$D$24,3,0)*Table1[[#This Row],[Estimação (horas)]]</f>
        <v>0.1</v>
      </c>
      <c r="X1133" s="114"/>
    </row>
    <row r="1134" spans="2:24" ht="17.7" hidden="1" customHeight="1">
      <c r="B1134" s="41" t="s">
        <v>26</v>
      </c>
      <c r="C1134" s="41" t="s">
        <v>26</v>
      </c>
      <c r="D1134" s="37" t="s">
        <v>478</v>
      </c>
      <c r="E1134" s="42" t="s">
        <v>481</v>
      </c>
      <c r="F1134" s="40" t="s">
        <v>369</v>
      </c>
      <c r="G1134" s="38" t="s">
        <v>481</v>
      </c>
      <c r="H1134" s="60" t="str">
        <f>Table1[[#This Row],[Tabela]]&amp;Table1[[#This Row],[Campo]]</f>
        <v>lt004_protectionflg_fin</v>
      </c>
      <c r="I1134" s="2" t="s">
        <v>613</v>
      </c>
      <c r="J1134" s="45">
        <f>VLOOKUP(Table1[[#This Row],[Status]],Auxiliar!$B$16:$C$24,2,0)</f>
        <v>1</v>
      </c>
      <c r="K1134" s="45" t="s">
        <v>1246</v>
      </c>
      <c r="L1134" s="46" t="s">
        <v>1252</v>
      </c>
      <c r="M1134" s="21" t="s">
        <v>1253</v>
      </c>
      <c r="N1134" s="48">
        <v>45649</v>
      </c>
      <c r="O1134" s="21">
        <f>INDEX(Auxiliar!$D$5:$F$13,MATCH(Table1[[#This Row],[Tipologia_Testes]],Auxiliar!$B$5:$B$13,0),MATCH(Table1[[#This Row],[Complexidade]],Auxiliar!$D$4:$F$4,0))</f>
        <v>2</v>
      </c>
      <c r="P1134" s="43"/>
      <c r="Q1134" s="152"/>
      <c r="R1134" s="152">
        <v>45593</v>
      </c>
      <c r="S1134" s="152"/>
      <c r="T1134" s="152">
        <v>45593</v>
      </c>
      <c r="U1134" s="152">
        <v>45624</v>
      </c>
      <c r="V1134" s="152">
        <v>45624</v>
      </c>
      <c r="W1134" s="2">
        <f>VLOOKUP(Table1[[#This Row],[Status]],Auxiliar!$B$16:$D$24,3,0)*Table1[[#This Row],[Estimação (horas)]]</f>
        <v>2</v>
      </c>
      <c r="X1134" s="114"/>
    </row>
    <row r="1135" spans="2:24" ht="17.7" hidden="1" customHeight="1">
      <c r="B1135" s="39" t="s">
        <v>26</v>
      </c>
      <c r="C1135" s="39" t="s">
        <v>26</v>
      </c>
      <c r="D1135" s="39" t="s">
        <v>478</v>
      </c>
      <c r="E1135" s="39" t="s">
        <v>481</v>
      </c>
      <c r="F1135" s="39" t="s">
        <v>369</v>
      </c>
      <c r="G1135" s="39" t="s">
        <v>481</v>
      </c>
      <c r="H1135" s="59" t="str">
        <f>Table1[[#This Row],[Tabela]]&amp;Table1[[#This Row],[Campo]]</f>
        <v>lt004_protectionflg_fin</v>
      </c>
      <c r="I1135" s="2" t="s">
        <v>613</v>
      </c>
      <c r="J1135" s="45">
        <f>VLOOKUP(Table1[[#This Row],[Status]],Auxiliar!$B$16:$C$24,2,0)</f>
        <v>1</v>
      </c>
      <c r="K1135" s="45" t="s">
        <v>1247</v>
      </c>
      <c r="L1135" s="46" t="s">
        <v>1252</v>
      </c>
      <c r="M1135" s="21" t="s">
        <v>1253</v>
      </c>
      <c r="N1135" s="48">
        <v>45649</v>
      </c>
      <c r="O1135" s="21">
        <f>INDEX(Auxiliar!$D$5:$F$13,MATCH(Table1[[#This Row],[Tipologia_Testes]],Auxiliar!$B$5:$B$13,0),MATCH(Table1[[#This Row],[Complexidade]],Auxiliar!$D$4:$F$4,0))</f>
        <v>2</v>
      </c>
      <c r="P1135" s="43"/>
      <c r="Q1135" s="152"/>
      <c r="R1135" s="152">
        <v>45593</v>
      </c>
      <c r="S1135" s="152"/>
      <c r="T1135" s="152">
        <v>45593</v>
      </c>
      <c r="U1135" s="152">
        <v>45624</v>
      </c>
      <c r="V1135" s="152">
        <v>45624</v>
      </c>
      <c r="W1135" s="2">
        <f>VLOOKUP(Table1[[#This Row],[Status]],Auxiliar!$B$16:$D$24,3,0)*Table1[[#This Row],[Estimação (horas)]]</f>
        <v>2</v>
      </c>
      <c r="X1135" s="114"/>
    </row>
    <row r="1136" spans="2:24" ht="17.7" hidden="1" customHeight="1">
      <c r="B1136" s="39" t="s">
        <v>26</v>
      </c>
      <c r="C1136" s="39" t="s">
        <v>26</v>
      </c>
      <c r="D1136" s="39" t="s">
        <v>478</v>
      </c>
      <c r="E1136" s="39" t="s">
        <v>481</v>
      </c>
      <c r="F1136" s="39" t="s">
        <v>369</v>
      </c>
      <c r="G1136" s="39" t="s">
        <v>481</v>
      </c>
      <c r="H1136" s="59" t="str">
        <f>Table1[[#This Row],[Tabela]]&amp;Table1[[#This Row],[Campo]]</f>
        <v>lt004_protectionflg_fin</v>
      </c>
      <c r="I1136" s="2" t="s">
        <v>613</v>
      </c>
      <c r="J1136" s="45">
        <f>VLOOKUP(Table1[[#This Row],[Status]],Auxiliar!$B$16:$C$24,2,0)</f>
        <v>1</v>
      </c>
      <c r="K1136" s="45" t="s">
        <v>1249</v>
      </c>
      <c r="L1136" s="46" t="s">
        <v>1252</v>
      </c>
      <c r="M1136" s="21" t="s">
        <v>1253</v>
      </c>
      <c r="N1136" s="48">
        <v>45649</v>
      </c>
      <c r="O1136" s="21">
        <f>INDEX(Auxiliar!$D$5:$F$13,MATCH(Table1[[#This Row],[Tipologia_Testes]],Auxiliar!$B$5:$B$13,0),MATCH(Table1[[#This Row],[Complexidade]],Auxiliar!$D$4:$F$4,0))</f>
        <v>0.1</v>
      </c>
      <c r="P1136" s="43"/>
      <c r="Q1136" s="152"/>
      <c r="R1136" s="152">
        <v>45593</v>
      </c>
      <c r="S1136" s="152"/>
      <c r="T1136" s="152">
        <v>45593</v>
      </c>
      <c r="U1136" s="152">
        <v>45624</v>
      </c>
      <c r="V1136" s="152">
        <v>45624</v>
      </c>
      <c r="W1136" s="2">
        <f>VLOOKUP(Table1[[#This Row],[Status]],Auxiliar!$B$16:$D$24,3,0)*Table1[[#This Row],[Estimação (horas)]]</f>
        <v>0.1</v>
      </c>
      <c r="X1136" s="114"/>
    </row>
    <row r="1137" spans="2:24" ht="17.7" hidden="1" customHeight="1">
      <c r="B1137" s="41" t="s">
        <v>26</v>
      </c>
      <c r="C1137" s="41" t="s">
        <v>26</v>
      </c>
      <c r="D1137" s="37" t="s">
        <v>478</v>
      </c>
      <c r="E1137" s="42" t="s">
        <v>479</v>
      </c>
      <c r="F1137" s="40" t="s">
        <v>369</v>
      </c>
      <c r="G1137" s="38" t="s">
        <v>1355</v>
      </c>
      <c r="H1137" s="60" t="str">
        <f>Table1[[#This Row],[Tabela]]&amp;Table1[[#This Row],[Campo]]</f>
        <v>lt004_protectionflg_exec</v>
      </c>
      <c r="I1137" s="2" t="s">
        <v>613</v>
      </c>
      <c r="J1137" s="45">
        <f>VLOOKUP(Table1[[#This Row],[Status]],Auxiliar!$B$16:$C$24,2,0)</f>
        <v>1</v>
      </c>
      <c r="K1137" s="45" t="s">
        <v>1246</v>
      </c>
      <c r="L1137" s="46" t="s">
        <v>1252</v>
      </c>
      <c r="M1137" s="21" t="s">
        <v>1253</v>
      </c>
      <c r="N1137" s="48">
        <v>45649</v>
      </c>
      <c r="O1137" s="21">
        <f>INDEX(Auxiliar!$D$5:$F$13,MATCH(Table1[[#This Row],[Tipologia_Testes]],Auxiliar!$B$5:$B$13,0),MATCH(Table1[[#This Row],[Complexidade]],Auxiliar!$D$4:$F$4,0))</f>
        <v>2</v>
      </c>
      <c r="P1137" s="43"/>
      <c r="Q1137" s="152"/>
      <c r="R1137" s="152">
        <v>45593</v>
      </c>
      <c r="S1137" s="152"/>
      <c r="T1137" s="152">
        <v>45593</v>
      </c>
      <c r="U1137" s="152">
        <v>45624</v>
      </c>
      <c r="V1137" s="152">
        <v>45624</v>
      </c>
      <c r="W1137" s="2">
        <f>VLOOKUP(Table1[[#This Row],[Status]],Auxiliar!$B$16:$D$24,3,0)*Table1[[#This Row],[Estimação (horas)]]</f>
        <v>2</v>
      </c>
      <c r="X1137" s="114"/>
    </row>
    <row r="1138" spans="2:24" ht="17.7" hidden="1" customHeight="1">
      <c r="B1138" s="39" t="s">
        <v>26</v>
      </c>
      <c r="C1138" s="39" t="s">
        <v>26</v>
      </c>
      <c r="D1138" s="39" t="s">
        <v>478</v>
      </c>
      <c r="E1138" s="39" t="s">
        <v>479</v>
      </c>
      <c r="F1138" s="39" t="s">
        <v>369</v>
      </c>
      <c r="G1138" s="39" t="s">
        <v>1355</v>
      </c>
      <c r="H1138" s="59" t="str">
        <f>Table1[[#This Row],[Tabela]]&amp;Table1[[#This Row],[Campo]]</f>
        <v>lt004_protectionflg_exec</v>
      </c>
      <c r="I1138" s="2" t="s">
        <v>613</v>
      </c>
      <c r="J1138" s="45">
        <f>VLOOKUP(Table1[[#This Row],[Status]],Auxiliar!$B$16:$C$24,2,0)</f>
        <v>1</v>
      </c>
      <c r="K1138" s="45" t="s">
        <v>1247</v>
      </c>
      <c r="L1138" s="46" t="s">
        <v>1252</v>
      </c>
      <c r="M1138" s="21" t="s">
        <v>1253</v>
      </c>
      <c r="N1138" s="48">
        <v>45649</v>
      </c>
      <c r="O1138" s="21">
        <f>INDEX(Auxiliar!$D$5:$F$13,MATCH(Table1[[#This Row],[Tipologia_Testes]],Auxiliar!$B$5:$B$13,0),MATCH(Table1[[#This Row],[Complexidade]],Auxiliar!$D$4:$F$4,0))</f>
        <v>2</v>
      </c>
      <c r="P1138" s="43"/>
      <c r="Q1138" s="152"/>
      <c r="R1138" s="152">
        <v>45593</v>
      </c>
      <c r="S1138" s="152"/>
      <c r="T1138" s="152">
        <v>45593</v>
      </c>
      <c r="U1138" s="152">
        <v>45624</v>
      </c>
      <c r="V1138" s="152">
        <v>45624</v>
      </c>
      <c r="W1138" s="2">
        <f>VLOOKUP(Table1[[#This Row],[Status]],Auxiliar!$B$16:$D$24,3,0)*Table1[[#This Row],[Estimação (horas)]]</f>
        <v>2</v>
      </c>
      <c r="X1138" s="114"/>
    </row>
    <row r="1139" spans="2:24" ht="17.7" hidden="1" customHeight="1">
      <c r="B1139" s="39" t="s">
        <v>26</v>
      </c>
      <c r="C1139" s="39" t="s">
        <v>26</v>
      </c>
      <c r="D1139" s="39" t="s">
        <v>478</v>
      </c>
      <c r="E1139" s="39" t="s">
        <v>479</v>
      </c>
      <c r="F1139" s="39" t="s">
        <v>369</v>
      </c>
      <c r="G1139" s="39" t="s">
        <v>1355</v>
      </c>
      <c r="H1139" s="59" t="str">
        <f>Table1[[#This Row],[Tabela]]&amp;Table1[[#This Row],[Campo]]</f>
        <v>lt004_protectionflg_exec</v>
      </c>
      <c r="I1139" s="2" t="s">
        <v>613</v>
      </c>
      <c r="J1139" s="45">
        <f>VLOOKUP(Table1[[#This Row],[Status]],Auxiliar!$B$16:$C$24,2,0)</f>
        <v>1</v>
      </c>
      <c r="K1139" s="45" t="s">
        <v>1249</v>
      </c>
      <c r="L1139" s="46" t="s">
        <v>1252</v>
      </c>
      <c r="M1139" s="21" t="s">
        <v>1253</v>
      </c>
      <c r="N1139" s="48">
        <v>45649</v>
      </c>
      <c r="O1139" s="21">
        <f>INDEX(Auxiliar!$D$5:$F$13,MATCH(Table1[[#This Row],[Tipologia_Testes]],Auxiliar!$B$5:$B$13,0),MATCH(Table1[[#This Row],[Complexidade]],Auxiliar!$D$4:$F$4,0))</f>
        <v>0.1</v>
      </c>
      <c r="P1139" s="43"/>
      <c r="Q1139" s="152"/>
      <c r="R1139" s="152">
        <v>45593</v>
      </c>
      <c r="S1139" s="152"/>
      <c r="T1139" s="152">
        <v>45593</v>
      </c>
      <c r="U1139" s="152">
        <v>45624</v>
      </c>
      <c r="V1139" s="152">
        <v>45624</v>
      </c>
      <c r="W1139" s="2">
        <f>VLOOKUP(Table1[[#This Row],[Status]],Auxiliar!$B$16:$D$24,3,0)*Table1[[#This Row],[Estimação (horas)]]</f>
        <v>0.1</v>
      </c>
      <c r="X1139" s="114"/>
    </row>
    <row r="1140" spans="2:24" ht="34.950000000000003" hidden="1" customHeight="1">
      <c r="B1140" s="41" t="s">
        <v>26</v>
      </c>
      <c r="C1140" s="41" t="s">
        <v>26</v>
      </c>
      <c r="D1140" s="37" t="s">
        <v>478</v>
      </c>
      <c r="E1140" s="40" t="s">
        <v>480</v>
      </c>
      <c r="F1140" s="40" t="s">
        <v>369</v>
      </c>
      <c r="G1140" s="38" t="s">
        <v>480</v>
      </c>
      <c r="H1140" s="60" t="str">
        <f>Table1[[#This Row],[Tabela]]&amp;Table1[[#This Row],[Campo]]</f>
        <v>lt004_protectionflg_col</v>
      </c>
      <c r="I1140" s="2" t="s">
        <v>613</v>
      </c>
      <c r="J1140" s="45">
        <f>VLOOKUP(Table1[[#This Row],[Status]],Auxiliar!$B$16:$C$24,2,0)</f>
        <v>1</v>
      </c>
      <c r="K1140" s="45" t="s">
        <v>1246</v>
      </c>
      <c r="L1140" s="46" t="s">
        <v>1252</v>
      </c>
      <c r="M1140" s="21" t="s">
        <v>1253</v>
      </c>
      <c r="N1140" s="48">
        <v>45667</v>
      </c>
      <c r="O1140" s="21">
        <f>INDEX(Auxiliar!$D$5:$F$13,MATCH(Table1[[#This Row],[Tipologia_Testes]],Auxiliar!$B$5:$B$13,0),MATCH(Table1[[#This Row],[Complexidade]],Auxiliar!$D$4:$F$4,0))</f>
        <v>2</v>
      </c>
      <c r="P1140" s="43"/>
      <c r="Q1140" s="152"/>
      <c r="R1140" s="152">
        <v>45593</v>
      </c>
      <c r="S1140" s="152"/>
      <c r="T1140" s="152">
        <v>45593</v>
      </c>
      <c r="U1140" s="152">
        <v>45624</v>
      </c>
      <c r="V1140" s="152">
        <v>45624</v>
      </c>
      <c r="W1140" s="2">
        <f>VLOOKUP(Table1[[#This Row],[Status]],Auxiliar!$B$16:$D$24,3,0)*Table1[[#This Row],[Estimação (horas)]]</f>
        <v>2</v>
      </c>
      <c r="X1140" s="114"/>
    </row>
    <row r="1141" spans="2:24" ht="17.7" hidden="1" customHeight="1">
      <c r="B1141" s="39" t="s">
        <v>26</v>
      </c>
      <c r="C1141" s="39" t="s">
        <v>26</v>
      </c>
      <c r="D1141" s="39" t="s">
        <v>478</v>
      </c>
      <c r="E1141" s="39" t="s">
        <v>480</v>
      </c>
      <c r="F1141" s="39" t="s">
        <v>369</v>
      </c>
      <c r="G1141" s="39" t="s">
        <v>480</v>
      </c>
      <c r="H1141" s="59" t="str">
        <f>Table1[[#This Row],[Tabela]]&amp;Table1[[#This Row],[Campo]]</f>
        <v>lt004_protectionflg_col</v>
      </c>
      <c r="I1141" s="2" t="s">
        <v>613</v>
      </c>
      <c r="J1141" s="45">
        <f>VLOOKUP(Table1[[#This Row],[Status]],Auxiliar!$B$16:$C$24,2,0)</f>
        <v>1</v>
      </c>
      <c r="K1141" s="45" t="s">
        <v>1247</v>
      </c>
      <c r="L1141" s="46" t="s">
        <v>1252</v>
      </c>
      <c r="M1141" s="21" t="s">
        <v>1253</v>
      </c>
      <c r="N1141" s="48">
        <v>45667</v>
      </c>
      <c r="O1141" s="21">
        <f>INDEX(Auxiliar!$D$5:$F$13,MATCH(Table1[[#This Row],[Tipologia_Testes]],Auxiliar!$B$5:$B$13,0),MATCH(Table1[[#This Row],[Complexidade]],Auxiliar!$D$4:$F$4,0))</f>
        <v>2</v>
      </c>
      <c r="P1141" s="43"/>
      <c r="Q1141" s="152"/>
      <c r="R1141" s="152">
        <v>45593</v>
      </c>
      <c r="S1141" s="152"/>
      <c r="T1141" s="152">
        <v>45593</v>
      </c>
      <c r="U1141" s="152">
        <v>45624</v>
      </c>
      <c r="V1141" s="152">
        <v>45624</v>
      </c>
      <c r="W1141" s="2">
        <f>VLOOKUP(Table1[[#This Row],[Status]],Auxiliar!$B$16:$D$24,3,0)*Table1[[#This Row],[Estimação (horas)]]</f>
        <v>2</v>
      </c>
      <c r="X1141" s="114"/>
    </row>
    <row r="1142" spans="2:24" ht="17.7" hidden="1" customHeight="1">
      <c r="B1142" s="39" t="s">
        <v>26</v>
      </c>
      <c r="C1142" s="39" t="s">
        <v>26</v>
      </c>
      <c r="D1142" s="39" t="s">
        <v>478</v>
      </c>
      <c r="E1142" s="39" t="s">
        <v>480</v>
      </c>
      <c r="F1142" s="39" t="s">
        <v>369</v>
      </c>
      <c r="G1142" s="39" t="s">
        <v>480</v>
      </c>
      <c r="H1142" s="59" t="str">
        <f>Table1[[#This Row],[Tabela]]&amp;Table1[[#This Row],[Campo]]</f>
        <v>lt004_protectionflg_col</v>
      </c>
      <c r="I1142" s="2" t="s">
        <v>613</v>
      </c>
      <c r="J1142" s="45">
        <f>VLOOKUP(Table1[[#This Row],[Status]],Auxiliar!$B$16:$C$24,2,0)</f>
        <v>1</v>
      </c>
      <c r="K1142" s="45" t="s">
        <v>1249</v>
      </c>
      <c r="L1142" s="46" t="s">
        <v>1252</v>
      </c>
      <c r="M1142" s="21" t="s">
        <v>1253</v>
      </c>
      <c r="N1142" s="48">
        <v>45667</v>
      </c>
      <c r="O1142" s="21">
        <f>INDEX(Auxiliar!$D$5:$F$13,MATCH(Table1[[#This Row],[Tipologia_Testes]],Auxiliar!$B$5:$B$13,0),MATCH(Table1[[#This Row],[Complexidade]],Auxiliar!$D$4:$F$4,0))</f>
        <v>0.1</v>
      </c>
      <c r="P1142" s="43"/>
      <c r="Q1142" s="152"/>
      <c r="R1142" s="152">
        <v>45593</v>
      </c>
      <c r="S1142" s="152"/>
      <c r="T1142" s="152">
        <v>45593</v>
      </c>
      <c r="U1142" s="152">
        <v>45624</v>
      </c>
      <c r="V1142" s="152">
        <v>45624</v>
      </c>
      <c r="W1142" s="2">
        <f>VLOOKUP(Table1[[#This Row],[Status]],Auxiliar!$B$16:$D$24,3,0)*Table1[[#This Row],[Estimação (horas)]]</f>
        <v>0.1</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613</v>
      </c>
      <c r="J1143" s="45">
        <f>VLOOKUP(Table1[[#This Row],[Status]],Auxiliar!$B$16:$C$24,2,0)</f>
        <v>1</v>
      </c>
      <c r="K1143" s="45" t="s">
        <v>1246</v>
      </c>
      <c r="L1143" s="46" t="s">
        <v>1252</v>
      </c>
      <c r="M1143" s="21" t="s">
        <v>1253</v>
      </c>
      <c r="N1143" s="48">
        <v>45632</v>
      </c>
      <c r="O1143" s="21">
        <f>INDEX(Auxiliar!$D$5:$F$13,MATCH(Table1[[#This Row],[Tipologia_Testes]],Auxiliar!$B$5:$B$13,0),MATCH(Table1[[#This Row],[Complexidade]],Auxiliar!$D$4:$F$4,0))</f>
        <v>2</v>
      </c>
      <c r="P1143" s="43" t="s">
        <v>1338</v>
      </c>
      <c r="Q1143" s="152"/>
      <c r="R1143" s="152">
        <v>45583</v>
      </c>
      <c r="S1143" s="152"/>
      <c r="T1143" s="152">
        <v>45583</v>
      </c>
      <c r="U1143" s="152">
        <v>45596</v>
      </c>
      <c r="V1143" s="152">
        <v>45596</v>
      </c>
      <c r="W1143" s="2">
        <f>VLOOKUP(Table1[[#This Row],[Status]],Auxiliar!$B$16:$D$24,3,0)*Table1[[#This Row],[Estimação (horas)]]</f>
        <v>2</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613</v>
      </c>
      <c r="J1144" s="45">
        <f>VLOOKUP(Table1[[#This Row],[Status]],Auxiliar!$B$16:$C$24,2,0)</f>
        <v>1</v>
      </c>
      <c r="K1144" s="45" t="s">
        <v>1247</v>
      </c>
      <c r="L1144" s="46" t="s">
        <v>1252</v>
      </c>
      <c r="M1144" s="21" t="s">
        <v>1253</v>
      </c>
      <c r="N1144" s="48">
        <v>45632</v>
      </c>
      <c r="O1144" s="21">
        <f>INDEX(Auxiliar!$D$5:$F$13,MATCH(Table1[[#This Row],[Tipologia_Testes]],Auxiliar!$B$5:$B$13,0),MATCH(Table1[[#This Row],[Complexidade]],Auxiliar!$D$4:$F$4,0))</f>
        <v>2</v>
      </c>
      <c r="P1144" s="43" t="s">
        <v>1338</v>
      </c>
      <c r="Q1144" s="152"/>
      <c r="R1144" s="152">
        <v>45583</v>
      </c>
      <c r="S1144" s="152"/>
      <c r="T1144" s="152">
        <v>45583</v>
      </c>
      <c r="U1144" s="152">
        <v>45596</v>
      </c>
      <c r="V1144" s="152">
        <v>45596</v>
      </c>
      <c r="W1144" s="2">
        <f>VLOOKUP(Table1[[#This Row],[Status]],Auxiliar!$B$16:$D$24,3,0)*Table1[[#This Row],[Estimação (horas)]]</f>
        <v>2</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613</v>
      </c>
      <c r="J1145" s="45">
        <f>VLOOKUP(Table1[[#This Row],[Status]],Auxiliar!$B$16:$C$24,2,0)</f>
        <v>1</v>
      </c>
      <c r="K1145" s="45" t="s">
        <v>1249</v>
      </c>
      <c r="L1145" s="46" t="s">
        <v>1252</v>
      </c>
      <c r="M1145" s="21" t="s">
        <v>1253</v>
      </c>
      <c r="N1145" s="48">
        <v>45632</v>
      </c>
      <c r="O1145" s="21">
        <f>INDEX(Auxiliar!$D$5:$F$13,MATCH(Table1[[#This Row],[Tipologia_Testes]],Auxiliar!$B$5:$B$13,0),MATCH(Table1[[#This Row],[Complexidade]],Auxiliar!$D$4:$F$4,0))</f>
        <v>0.1</v>
      </c>
      <c r="P1145" s="43" t="s">
        <v>1338</v>
      </c>
      <c r="Q1145" s="152"/>
      <c r="R1145" s="152">
        <v>45583</v>
      </c>
      <c r="S1145" s="152"/>
      <c r="T1145" s="152">
        <v>45583</v>
      </c>
      <c r="U1145" s="152">
        <v>45596</v>
      </c>
      <c r="V1145" s="152">
        <v>45596</v>
      </c>
      <c r="W1145" s="2">
        <f>VLOOKUP(Table1[[#This Row],[Status]],Auxiliar!$B$16:$D$24,3,0)*Table1[[#This Row],[Estimação (horas)]]</f>
        <v>0.1</v>
      </c>
      <c r="X1145" s="114"/>
    </row>
    <row r="1146" spans="2:24" ht="34.950000000000003" hidden="1" customHeight="1">
      <c r="B1146" s="41" t="s">
        <v>26</v>
      </c>
      <c r="C1146" s="41" t="s">
        <v>26</v>
      </c>
      <c r="D1146" s="36" t="s">
        <v>312</v>
      </c>
      <c r="E1146" s="40" t="s">
        <v>283</v>
      </c>
      <c r="F1146" s="40" t="s">
        <v>369</v>
      </c>
      <c r="G1146" s="38" t="s">
        <v>358</v>
      </c>
      <c r="H1146" s="60" t="str">
        <f>Table1[[#This Row],[Tabela]]&amp;Table1[[#This Row],[Campo]]</f>
        <v>lt004_protectionflg_act_physcl_rsk</v>
      </c>
      <c r="I1146" s="2" t="s">
        <v>613</v>
      </c>
      <c r="J1146" s="45">
        <f>VLOOKUP(Table1[[#This Row],[Status]],Auxiliar!$B$16:$C$24,2,0)</f>
        <v>1</v>
      </c>
      <c r="K1146" s="45" t="s">
        <v>1246</v>
      </c>
      <c r="L1146" s="46" t="s">
        <v>1252</v>
      </c>
      <c r="M1146" s="21" t="s">
        <v>1253</v>
      </c>
      <c r="N1146" s="48">
        <v>45632</v>
      </c>
      <c r="O1146" s="21">
        <f>INDEX(Auxiliar!$D$5:$F$13,MATCH(Table1[[#This Row],[Tipologia_Testes]],Auxiliar!$B$5:$B$13,0),MATCH(Table1[[#This Row],[Complexidade]],Auxiliar!$D$4:$F$4,0))</f>
        <v>2</v>
      </c>
      <c r="P1146" s="43" t="s">
        <v>1338</v>
      </c>
      <c r="Q1146" s="152"/>
      <c r="R1146" s="152">
        <v>45583</v>
      </c>
      <c r="S1146" s="152"/>
      <c r="T1146" s="152">
        <v>45583</v>
      </c>
      <c r="U1146" s="152">
        <v>45596</v>
      </c>
      <c r="V1146" s="152">
        <v>45596</v>
      </c>
      <c r="W1146" s="2">
        <f>VLOOKUP(Table1[[#This Row],[Status]],Auxiliar!$B$16:$D$24,3,0)*Table1[[#This Row],[Estimação (horas)]]</f>
        <v>2</v>
      </c>
      <c r="X1146" s="114"/>
    </row>
    <row r="1147" spans="2:24" ht="17.7" hidden="1" customHeight="1">
      <c r="B1147" s="39" t="s">
        <v>26</v>
      </c>
      <c r="C1147" s="39" t="s">
        <v>26</v>
      </c>
      <c r="D1147" s="39" t="s">
        <v>312</v>
      </c>
      <c r="E1147" s="39" t="s">
        <v>283</v>
      </c>
      <c r="F1147" s="39" t="s">
        <v>369</v>
      </c>
      <c r="G1147" s="39" t="s">
        <v>358</v>
      </c>
      <c r="H1147" s="59" t="str">
        <f>Table1[[#This Row],[Tabela]]&amp;Table1[[#This Row],[Campo]]</f>
        <v>lt004_protectionflg_act_physcl_rsk</v>
      </c>
      <c r="I1147" s="2" t="s">
        <v>613</v>
      </c>
      <c r="J1147" s="45">
        <f>VLOOKUP(Table1[[#This Row],[Status]],Auxiliar!$B$16:$C$24,2,0)</f>
        <v>1</v>
      </c>
      <c r="K1147" s="45" t="s">
        <v>1247</v>
      </c>
      <c r="L1147" s="46" t="s">
        <v>1252</v>
      </c>
      <c r="M1147" s="21" t="s">
        <v>1253</v>
      </c>
      <c r="N1147" s="48">
        <v>45632</v>
      </c>
      <c r="O1147" s="21">
        <f>INDEX(Auxiliar!$D$5:$F$13,MATCH(Table1[[#This Row],[Tipologia_Testes]],Auxiliar!$B$5:$B$13,0),MATCH(Table1[[#This Row],[Complexidade]],Auxiliar!$D$4:$F$4,0))</f>
        <v>2</v>
      </c>
      <c r="P1147" s="43" t="s">
        <v>1338</v>
      </c>
      <c r="Q1147" s="152"/>
      <c r="R1147" s="152">
        <v>45583</v>
      </c>
      <c r="S1147" s="152"/>
      <c r="T1147" s="152">
        <v>45583</v>
      </c>
      <c r="U1147" s="152">
        <v>45596</v>
      </c>
      <c r="V1147" s="152">
        <v>45596</v>
      </c>
      <c r="W1147" s="2">
        <f>VLOOKUP(Table1[[#This Row],[Status]],Auxiliar!$B$16:$D$24,3,0)*Table1[[#This Row],[Estimação (horas)]]</f>
        <v>2</v>
      </c>
      <c r="X1147" s="114"/>
    </row>
    <row r="1148" spans="2:24" ht="17.7" hidden="1" customHeight="1">
      <c r="B1148" s="39" t="s">
        <v>26</v>
      </c>
      <c r="C1148" s="39" t="s">
        <v>26</v>
      </c>
      <c r="D1148" s="39" t="s">
        <v>312</v>
      </c>
      <c r="E1148" s="39" t="s">
        <v>283</v>
      </c>
      <c r="F1148" s="39" t="s">
        <v>369</v>
      </c>
      <c r="G1148" s="39" t="s">
        <v>358</v>
      </c>
      <c r="H1148" s="59" t="str">
        <f>Table1[[#This Row],[Tabela]]&amp;Table1[[#This Row],[Campo]]</f>
        <v>lt004_protectionflg_act_physcl_rsk</v>
      </c>
      <c r="I1148" s="2" t="s">
        <v>613</v>
      </c>
      <c r="J1148" s="45">
        <f>VLOOKUP(Table1[[#This Row],[Status]],Auxiliar!$B$16:$C$24,2,0)</f>
        <v>1</v>
      </c>
      <c r="K1148" s="45" t="s">
        <v>1249</v>
      </c>
      <c r="L1148" s="46" t="s">
        <v>1252</v>
      </c>
      <c r="M1148" s="21" t="s">
        <v>1253</v>
      </c>
      <c r="N1148" s="48">
        <v>45632</v>
      </c>
      <c r="O1148" s="21">
        <f>INDEX(Auxiliar!$D$5:$F$13,MATCH(Table1[[#This Row],[Tipologia_Testes]],Auxiliar!$B$5:$B$13,0),MATCH(Table1[[#This Row],[Complexidade]],Auxiliar!$D$4:$F$4,0))</f>
        <v>0.1</v>
      </c>
      <c r="P1148" s="43" t="s">
        <v>1338</v>
      </c>
      <c r="Q1148" s="152"/>
      <c r="R1148" s="152">
        <v>45583</v>
      </c>
      <c r="S1148" s="152"/>
      <c r="T1148" s="152">
        <v>45583</v>
      </c>
      <c r="U1148" s="152">
        <v>45596</v>
      </c>
      <c r="V1148" s="152">
        <v>45596</v>
      </c>
      <c r="W1148" s="2">
        <f>VLOOKUP(Table1[[#This Row],[Status]],Auxiliar!$B$16:$D$24,3,0)*Table1[[#This Row],[Estimação (horas)]]</f>
        <v>0.1</v>
      </c>
      <c r="X1148" s="114"/>
    </row>
    <row r="1149" spans="2:24" ht="34.950000000000003" hidden="1" customHeight="1">
      <c r="B1149" s="41" t="s">
        <v>26</v>
      </c>
      <c r="C1149" s="41" t="s">
        <v>26</v>
      </c>
      <c r="D1149" s="37" t="s">
        <v>1349</v>
      </c>
      <c r="E1149" s="42" t="s">
        <v>1331</v>
      </c>
      <c r="F1149" s="40" t="s">
        <v>369</v>
      </c>
      <c r="G1149" s="38" t="s">
        <v>373</v>
      </c>
      <c r="H1149" s="60" t="str">
        <f>Table1[[#This Row],[Tabela]]&amp;Table1[[#This Row],[Campo]]</f>
        <v>lt004_protectionepc_lbl</v>
      </c>
      <c r="I1149" s="2" t="s">
        <v>613</v>
      </c>
      <c r="J1149" s="45">
        <f>VLOOKUP(Table1[[#This Row],[Status]],Auxiliar!$B$16:$C$24,2,0)</f>
        <v>1</v>
      </c>
      <c r="K1149" s="45" t="s">
        <v>1246</v>
      </c>
      <c r="L1149" s="46" t="s">
        <v>1252</v>
      </c>
      <c r="M1149" s="21" t="s">
        <v>1253</v>
      </c>
      <c r="N1149" s="48">
        <v>45667</v>
      </c>
      <c r="O1149" s="21">
        <f>INDEX(Auxiliar!$D$5:$F$13,MATCH(Table1[[#This Row],[Tipologia_Testes]],Auxiliar!$B$5:$B$13,0),MATCH(Table1[[#This Row],[Complexidade]],Auxiliar!$D$4:$F$4,0))</f>
        <v>2</v>
      </c>
      <c r="P1149" s="43" t="s">
        <v>1350</v>
      </c>
      <c r="Q1149" s="43"/>
      <c r="R1149" s="152">
        <v>45583</v>
      </c>
      <c r="S1149" s="152"/>
      <c r="T1149" s="152">
        <v>45583</v>
      </c>
      <c r="U1149" s="152">
        <v>45596</v>
      </c>
      <c r="V1149" s="152">
        <v>45596</v>
      </c>
      <c r="W1149" s="2">
        <f>VLOOKUP(Table1[[#This Row],[Status]],Auxiliar!$B$16:$D$24,3,0)*Table1[[#This Row],[Estimação (horas)]]</f>
        <v>2</v>
      </c>
      <c r="X1149" s="114"/>
    </row>
    <row r="1150" spans="2:24" ht="17.7" hidden="1" customHeight="1">
      <c r="B1150" s="39" t="s">
        <v>26</v>
      </c>
      <c r="C1150" s="39" t="s">
        <v>26</v>
      </c>
      <c r="D1150" s="39" t="s">
        <v>1349</v>
      </c>
      <c r="E1150" s="39" t="s">
        <v>1331</v>
      </c>
      <c r="F1150" s="39" t="s">
        <v>369</v>
      </c>
      <c r="G1150" s="39" t="s">
        <v>373</v>
      </c>
      <c r="H1150" s="59" t="str">
        <f>Table1[[#This Row],[Tabela]]&amp;Table1[[#This Row],[Campo]]</f>
        <v>lt004_protectionepc_lbl</v>
      </c>
      <c r="I1150" s="2" t="s">
        <v>613</v>
      </c>
      <c r="J1150" s="45">
        <f>VLOOKUP(Table1[[#This Row],[Status]],Auxiliar!$B$16:$C$24,2,0)</f>
        <v>1</v>
      </c>
      <c r="K1150" s="45" t="s">
        <v>1247</v>
      </c>
      <c r="L1150" s="46" t="s">
        <v>1252</v>
      </c>
      <c r="M1150" s="21" t="s">
        <v>1253</v>
      </c>
      <c r="N1150" s="48">
        <v>45667</v>
      </c>
      <c r="O1150" s="21">
        <f>INDEX(Auxiliar!$D$5:$F$13,MATCH(Table1[[#This Row],[Tipologia_Testes]],Auxiliar!$B$5:$B$13,0),MATCH(Table1[[#This Row],[Complexidade]],Auxiliar!$D$4:$F$4,0))</f>
        <v>2</v>
      </c>
      <c r="P1150" s="43" t="s">
        <v>1350</v>
      </c>
      <c r="Q1150" s="43"/>
      <c r="R1150" s="152">
        <v>45583</v>
      </c>
      <c r="S1150" s="152"/>
      <c r="T1150" s="152">
        <v>45583</v>
      </c>
      <c r="U1150" s="152">
        <v>45596</v>
      </c>
      <c r="V1150" s="152">
        <v>45596</v>
      </c>
      <c r="W1150" s="2">
        <f>VLOOKUP(Table1[[#This Row],[Status]],Auxiliar!$B$16:$D$24,3,0)*Table1[[#This Row],[Estimação (horas)]]</f>
        <v>2</v>
      </c>
      <c r="X1150" s="114"/>
    </row>
    <row r="1151" spans="2:24" ht="17.7" hidden="1" customHeight="1">
      <c r="B1151" s="39" t="s">
        <v>26</v>
      </c>
      <c r="C1151" s="39" t="s">
        <v>26</v>
      </c>
      <c r="D1151" s="39" t="s">
        <v>1349</v>
      </c>
      <c r="E1151" s="39" t="s">
        <v>1331</v>
      </c>
      <c r="F1151" s="39" t="s">
        <v>369</v>
      </c>
      <c r="G1151" s="39" t="s">
        <v>373</v>
      </c>
      <c r="H1151" s="59" t="str">
        <f>Table1[[#This Row],[Tabela]]&amp;Table1[[#This Row],[Campo]]</f>
        <v>lt004_protectionepc_lbl</v>
      </c>
      <c r="I1151" s="2" t="s">
        <v>613</v>
      </c>
      <c r="J1151" s="45">
        <f>VLOOKUP(Table1[[#This Row],[Status]],Auxiliar!$B$16:$C$24,2,0)</f>
        <v>1</v>
      </c>
      <c r="K1151" s="45" t="s">
        <v>1249</v>
      </c>
      <c r="L1151" s="46" t="s">
        <v>1252</v>
      </c>
      <c r="M1151" s="21" t="s">
        <v>1253</v>
      </c>
      <c r="N1151" s="48">
        <v>45667</v>
      </c>
      <c r="O1151" s="21">
        <f>INDEX(Auxiliar!$D$5:$F$13,MATCH(Table1[[#This Row],[Tipologia_Testes]],Auxiliar!$B$5:$B$13,0),MATCH(Table1[[#This Row],[Complexidade]],Auxiliar!$D$4:$F$4,0))</f>
        <v>0.1</v>
      </c>
      <c r="P1151" s="43" t="s">
        <v>1350</v>
      </c>
      <c r="Q1151" s="43"/>
      <c r="R1151" s="152">
        <v>45583</v>
      </c>
      <c r="S1151" s="152"/>
      <c r="T1151" s="152">
        <v>45583</v>
      </c>
      <c r="U1151" s="152">
        <v>45596</v>
      </c>
      <c r="V1151" s="152">
        <v>45596</v>
      </c>
      <c r="W1151" s="2">
        <f>VLOOKUP(Table1[[#This Row],[Status]],Auxiliar!$B$16:$D$24,3,0)*Table1[[#This Row],[Estimação (horas)]]</f>
        <v>0.1</v>
      </c>
      <c r="X1151" s="114"/>
    </row>
    <row r="1152" spans="2:24" ht="34.950000000000003" hidden="1" customHeight="1">
      <c r="B1152" s="41" t="s">
        <v>26</v>
      </c>
      <c r="C1152" s="41" t="s">
        <v>26</v>
      </c>
      <c r="D1152" s="37" t="s">
        <v>1349</v>
      </c>
      <c r="E1152" s="42" t="s">
        <v>1331</v>
      </c>
      <c r="F1152" s="40" t="s">
        <v>369</v>
      </c>
      <c r="G1152" s="38" t="s">
        <v>371</v>
      </c>
      <c r="H1152" s="60" t="str">
        <f>Table1[[#This Row],[Tabela]]&amp;Table1[[#This Row],[Campo]]</f>
        <v>lt004_protectionep_scr</v>
      </c>
      <c r="I1152" s="2" t="s">
        <v>613</v>
      </c>
      <c r="J1152" s="45">
        <f>VLOOKUP(Table1[[#This Row],[Status]],Auxiliar!$B$16:$C$24,2,0)</f>
        <v>1</v>
      </c>
      <c r="K1152" s="45" t="s">
        <v>1246</v>
      </c>
      <c r="L1152" s="46" t="s">
        <v>1252</v>
      </c>
      <c r="M1152" s="21" t="s">
        <v>1253</v>
      </c>
      <c r="N1152" s="48">
        <v>45667</v>
      </c>
      <c r="O1152" s="21">
        <f>INDEX(Auxiliar!$D$5:$F$13,MATCH(Table1[[#This Row],[Tipologia_Testes]],Auxiliar!$B$5:$B$13,0),MATCH(Table1[[#This Row],[Complexidade]],Auxiliar!$D$4:$F$4,0))</f>
        <v>2</v>
      </c>
      <c r="P1152" s="43" t="s">
        <v>1350</v>
      </c>
      <c r="Q1152" s="152"/>
      <c r="R1152" s="152">
        <v>45583</v>
      </c>
      <c r="S1152" s="152"/>
      <c r="T1152" s="152">
        <v>45583</v>
      </c>
      <c r="U1152" s="152">
        <v>45596</v>
      </c>
      <c r="V1152" s="152">
        <v>45596</v>
      </c>
      <c r="W1152" s="2">
        <f>VLOOKUP(Table1[[#This Row],[Status]],Auxiliar!$B$16:$D$24,3,0)*Table1[[#This Row],[Estimação (horas)]]</f>
        <v>2</v>
      </c>
      <c r="X1152" s="114"/>
    </row>
    <row r="1153" spans="2:24" ht="17.7" hidden="1" customHeight="1">
      <c r="B1153" s="39" t="s">
        <v>26</v>
      </c>
      <c r="C1153" s="39" t="s">
        <v>26</v>
      </c>
      <c r="D1153" s="39" t="s">
        <v>1349</v>
      </c>
      <c r="E1153" s="39" t="s">
        <v>1331</v>
      </c>
      <c r="F1153" s="39" t="s">
        <v>369</v>
      </c>
      <c r="G1153" s="39" t="s">
        <v>371</v>
      </c>
      <c r="H1153" s="59" t="str">
        <f>Table1[[#This Row],[Tabela]]&amp;Table1[[#This Row],[Campo]]</f>
        <v>lt004_protectionep_scr</v>
      </c>
      <c r="I1153" s="2" t="s">
        <v>613</v>
      </c>
      <c r="J1153" s="45">
        <f>VLOOKUP(Table1[[#This Row],[Status]],Auxiliar!$B$16:$C$24,2,0)</f>
        <v>1</v>
      </c>
      <c r="K1153" s="45" t="s">
        <v>1247</v>
      </c>
      <c r="L1153" s="46" t="s">
        <v>1252</v>
      </c>
      <c r="M1153" s="21" t="s">
        <v>1253</v>
      </c>
      <c r="N1153" s="48">
        <v>45667</v>
      </c>
      <c r="O1153" s="21">
        <f>INDEX(Auxiliar!$D$5:$F$13,MATCH(Table1[[#This Row],[Tipologia_Testes]],Auxiliar!$B$5:$B$13,0),MATCH(Table1[[#This Row],[Complexidade]],Auxiliar!$D$4:$F$4,0))</f>
        <v>2</v>
      </c>
      <c r="P1153" s="43" t="s">
        <v>1350</v>
      </c>
      <c r="Q1153" s="152"/>
      <c r="R1153" s="152">
        <v>45583</v>
      </c>
      <c r="S1153" s="152"/>
      <c r="T1153" s="152">
        <v>45583</v>
      </c>
      <c r="U1153" s="152">
        <v>45596</v>
      </c>
      <c r="V1153" s="152">
        <v>45596</v>
      </c>
      <c r="W1153" s="2">
        <f>VLOOKUP(Table1[[#This Row],[Status]],Auxiliar!$B$16:$D$24,3,0)*Table1[[#This Row],[Estimação (horas)]]</f>
        <v>2</v>
      </c>
      <c r="X1153" s="114"/>
    </row>
    <row r="1154" spans="2:24" ht="17.7" hidden="1" customHeight="1">
      <c r="B1154" s="39" t="s">
        <v>26</v>
      </c>
      <c r="C1154" s="39" t="s">
        <v>26</v>
      </c>
      <c r="D1154" s="39" t="s">
        <v>1349</v>
      </c>
      <c r="E1154" s="39" t="s">
        <v>1331</v>
      </c>
      <c r="F1154" s="39" t="s">
        <v>369</v>
      </c>
      <c r="G1154" s="39" t="s">
        <v>371</v>
      </c>
      <c r="H1154" s="59" t="str">
        <f>Table1[[#This Row],[Tabela]]&amp;Table1[[#This Row],[Campo]]</f>
        <v>lt004_protectionep_scr</v>
      </c>
      <c r="I1154" s="2" t="s">
        <v>613</v>
      </c>
      <c r="J1154" s="45">
        <f>VLOOKUP(Table1[[#This Row],[Status]],Auxiliar!$B$16:$C$24,2,0)</f>
        <v>1</v>
      </c>
      <c r="K1154" s="45" t="s">
        <v>1249</v>
      </c>
      <c r="L1154" s="46" t="s">
        <v>1252</v>
      </c>
      <c r="M1154" s="21" t="s">
        <v>1253</v>
      </c>
      <c r="N1154" s="48">
        <v>45667</v>
      </c>
      <c r="O1154" s="21">
        <f>INDEX(Auxiliar!$D$5:$F$13,MATCH(Table1[[#This Row],[Tipologia_Testes]],Auxiliar!$B$5:$B$13,0),MATCH(Table1[[#This Row],[Complexidade]],Auxiliar!$D$4:$F$4,0))</f>
        <v>0.1</v>
      </c>
      <c r="P1154" s="43" t="s">
        <v>1350</v>
      </c>
      <c r="Q1154" s="152"/>
      <c r="R1154" s="152">
        <v>45583</v>
      </c>
      <c r="S1154" s="152"/>
      <c r="T1154" s="152">
        <v>45583</v>
      </c>
      <c r="U1154" s="152">
        <v>45596</v>
      </c>
      <c r="V1154" s="152">
        <v>45596</v>
      </c>
      <c r="W1154" s="2">
        <f>VLOOKUP(Table1[[#This Row],[Status]],Auxiliar!$B$16:$D$24,3,0)*Table1[[#This Row],[Estimação (horas)]]</f>
        <v>0.1</v>
      </c>
      <c r="X1154" s="114"/>
    </row>
    <row r="1155" spans="2:24" ht="34.950000000000003" hidden="1" customHeight="1">
      <c r="B1155" s="41" t="s">
        <v>26</v>
      </c>
      <c r="C1155" s="41" t="s">
        <v>26</v>
      </c>
      <c r="D1155" s="36" t="s">
        <v>1351</v>
      </c>
      <c r="E1155" s="40" t="s">
        <v>1354</v>
      </c>
      <c r="F1155" s="40" t="s">
        <v>369</v>
      </c>
      <c r="G1155" s="38" t="s">
        <v>376</v>
      </c>
      <c r="H1155" s="60" t="str">
        <f>Table1[[#This Row],[Tabela]]&amp;Table1[[#This Row],[Campo]]</f>
        <v>lt004_protectionemssns_scp3_prtctn</v>
      </c>
      <c r="I1155" s="2" t="s">
        <v>613</v>
      </c>
      <c r="J1155" s="45">
        <f>VLOOKUP(Table1[[#This Row],[Status]],Auxiliar!$B$16:$C$24,2,0)</f>
        <v>1</v>
      </c>
      <c r="K1155" s="45" t="s">
        <v>1246</v>
      </c>
      <c r="L1155" s="46" t="s">
        <v>1252</v>
      </c>
      <c r="M1155" s="21" t="s">
        <v>1253</v>
      </c>
      <c r="N1155" s="48">
        <v>45667</v>
      </c>
      <c r="O1155" s="21">
        <f>INDEX(Auxiliar!$D$5:$F$13,MATCH(Table1[[#This Row],[Tipologia_Testes]],Auxiliar!$B$5:$B$13,0),MATCH(Table1[[#This Row],[Complexidade]],Auxiliar!$D$4:$F$4,0))</f>
        <v>2</v>
      </c>
      <c r="P1155" s="43" t="s">
        <v>1338</v>
      </c>
      <c r="Q1155" s="152"/>
      <c r="R1155" s="152">
        <v>45622</v>
      </c>
      <c r="S1155" s="152"/>
      <c r="T1155" s="152"/>
      <c r="U1155" s="152">
        <v>45631</v>
      </c>
      <c r="V1155" s="152">
        <v>45631</v>
      </c>
      <c r="W1155" s="2">
        <f>VLOOKUP(Table1[[#This Row],[Status]],Auxiliar!$B$16:$D$24,3,0)*Table1[[#This Row],[Estimação (horas)]]</f>
        <v>2</v>
      </c>
      <c r="X1155" s="114"/>
    </row>
    <row r="1156" spans="2:24" ht="17.7" hidden="1" customHeight="1">
      <c r="B1156" s="39" t="s">
        <v>26</v>
      </c>
      <c r="C1156" s="39" t="s">
        <v>26</v>
      </c>
      <c r="D1156" s="39" t="s">
        <v>1351</v>
      </c>
      <c r="E1156" s="39" t="s">
        <v>1354</v>
      </c>
      <c r="F1156" s="39" t="s">
        <v>369</v>
      </c>
      <c r="G1156" s="39" t="s">
        <v>376</v>
      </c>
      <c r="H1156" s="59" t="str">
        <f>Table1[[#This Row],[Tabela]]&amp;Table1[[#This Row],[Campo]]</f>
        <v>lt004_protectionemssns_scp3_prtctn</v>
      </c>
      <c r="I1156" s="2" t="s">
        <v>613</v>
      </c>
      <c r="J1156" s="45">
        <f>VLOOKUP(Table1[[#This Row],[Status]],Auxiliar!$B$16:$C$24,2,0)</f>
        <v>1</v>
      </c>
      <c r="K1156" s="45" t="s">
        <v>1247</v>
      </c>
      <c r="L1156" s="46" t="s">
        <v>1252</v>
      </c>
      <c r="M1156" s="21" t="s">
        <v>1253</v>
      </c>
      <c r="N1156" s="48">
        <v>45667</v>
      </c>
      <c r="O1156" s="21">
        <f>INDEX(Auxiliar!$D$5:$F$13,MATCH(Table1[[#This Row],[Tipologia_Testes]],Auxiliar!$B$5:$B$13,0),MATCH(Table1[[#This Row],[Complexidade]],Auxiliar!$D$4:$F$4,0))</f>
        <v>2</v>
      </c>
      <c r="P1156" s="43" t="s">
        <v>1338</v>
      </c>
      <c r="Q1156" s="152"/>
      <c r="R1156" s="152">
        <v>45622</v>
      </c>
      <c r="S1156" s="152"/>
      <c r="T1156" s="152"/>
      <c r="U1156" s="152">
        <v>45631</v>
      </c>
      <c r="V1156" s="152">
        <v>45631</v>
      </c>
      <c r="W1156" s="2">
        <f>VLOOKUP(Table1[[#This Row],[Status]],Auxiliar!$B$16:$D$24,3,0)*Table1[[#This Row],[Estimação (horas)]]</f>
        <v>2</v>
      </c>
      <c r="X1156" s="114"/>
    </row>
    <row r="1157" spans="2:24" ht="17.7" hidden="1" customHeight="1">
      <c r="B1157" s="39" t="s">
        <v>26</v>
      </c>
      <c r="C1157" s="39" t="s">
        <v>26</v>
      </c>
      <c r="D1157" s="39" t="s">
        <v>1351</v>
      </c>
      <c r="E1157" s="39" t="s">
        <v>1354</v>
      </c>
      <c r="F1157" s="39" t="s">
        <v>369</v>
      </c>
      <c r="G1157" s="39" t="s">
        <v>376</v>
      </c>
      <c r="H1157" s="59" t="str">
        <f>Table1[[#This Row],[Tabela]]&amp;Table1[[#This Row],[Campo]]</f>
        <v>lt004_protectionemssns_scp3_prtctn</v>
      </c>
      <c r="I1157" s="2" t="s">
        <v>613</v>
      </c>
      <c r="J1157" s="45">
        <f>VLOOKUP(Table1[[#This Row],[Status]],Auxiliar!$B$16:$C$24,2,0)</f>
        <v>1</v>
      </c>
      <c r="K1157" s="45" t="s">
        <v>1249</v>
      </c>
      <c r="L1157" s="46" t="s">
        <v>1252</v>
      </c>
      <c r="M1157" s="21" t="s">
        <v>1253</v>
      </c>
      <c r="N1157" s="48">
        <v>45667</v>
      </c>
      <c r="O1157" s="21">
        <f>INDEX(Auxiliar!$D$5:$F$13,MATCH(Table1[[#This Row],[Tipologia_Testes]],Auxiliar!$B$5:$B$13,0),MATCH(Table1[[#This Row],[Complexidade]],Auxiliar!$D$4:$F$4,0))</f>
        <v>0.1</v>
      </c>
      <c r="P1157" s="43" t="s">
        <v>1338</v>
      </c>
      <c r="Q1157" s="152"/>
      <c r="R1157" s="152">
        <v>45622</v>
      </c>
      <c r="S1157" s="152"/>
      <c r="T1157" s="152"/>
      <c r="U1157" s="152">
        <v>45631</v>
      </c>
      <c r="V1157" s="152">
        <v>45631</v>
      </c>
      <c r="W1157" s="2">
        <f>VLOOKUP(Table1[[#This Row],[Status]],Auxiliar!$B$16:$D$24,3,0)*Table1[[#This Row],[Estimação (horas)]]</f>
        <v>0.1</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1246</v>
      </c>
      <c r="L1158" s="46" t="s">
        <v>1252</v>
      </c>
      <c r="M1158" s="21" t="s">
        <v>1253</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1247</v>
      </c>
      <c r="L1159" s="46" t="s">
        <v>1252</v>
      </c>
      <c r="M1159" s="21" t="s">
        <v>1253</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1249</v>
      </c>
      <c r="L1160" s="46" t="s">
        <v>1252</v>
      </c>
      <c r="M1160" s="21" t="s">
        <v>1253</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615</v>
      </c>
      <c r="J1161" s="45">
        <f>VLOOKUP(Table1[[#This Row],[Status]],Auxiliar!$B$16:$C$24,2,0)</f>
        <v>5</v>
      </c>
      <c r="K1161" s="45" t="s">
        <v>1246</v>
      </c>
      <c r="L1161" s="46" t="s">
        <v>1252</v>
      </c>
      <c r="M1161" s="21" t="s">
        <v>1253</v>
      </c>
      <c r="N1161" s="48">
        <v>45642</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615</v>
      </c>
      <c r="J1162" s="45">
        <f>VLOOKUP(Table1[[#This Row],[Status]],Auxiliar!$B$16:$C$24,2,0)</f>
        <v>5</v>
      </c>
      <c r="K1162" s="45" t="s">
        <v>1247</v>
      </c>
      <c r="L1162" s="46" t="s">
        <v>1252</v>
      </c>
      <c r="M1162" s="21" t="s">
        <v>1253</v>
      </c>
      <c r="N1162" s="48">
        <v>45642</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615</v>
      </c>
      <c r="J1163" s="45">
        <f>VLOOKUP(Table1[[#This Row],[Status]],Auxiliar!$B$16:$C$24,2,0)</f>
        <v>5</v>
      </c>
      <c r="K1163" s="45" t="s">
        <v>1249</v>
      </c>
      <c r="L1163" s="46" t="s">
        <v>1252</v>
      </c>
      <c r="M1163" s="21" t="s">
        <v>1253</v>
      </c>
      <c r="N1163" s="48">
        <v>45642</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2.5000000000000001E-2</v>
      </c>
      <c r="X1163" s="114"/>
    </row>
    <row r="1164" spans="2:24" ht="17.7" hidden="1" customHeight="1">
      <c r="B1164" s="41" t="s">
        <v>26</v>
      </c>
      <c r="C1164" s="41" t="s">
        <v>26</v>
      </c>
      <c r="D1164" s="37" t="s">
        <v>1349</v>
      </c>
      <c r="E1164" s="42" t="s">
        <v>1331</v>
      </c>
      <c r="F1164" s="40" t="s">
        <v>1948</v>
      </c>
      <c r="G1164" s="38" t="s">
        <v>383</v>
      </c>
      <c r="H1164" s="60" t="str">
        <f>Table1[[#This Row],[Tabela]]&amp;Table1[[#This Row],[Campo]]</f>
        <v>lt007_instr_activityenvrnmntl_objctv</v>
      </c>
      <c r="I1164" s="2" t="s">
        <v>613</v>
      </c>
      <c r="J1164" s="45">
        <f>VLOOKUP(Table1[[#This Row],[Status]],Auxiliar!$B$16:$C$24,2,0)</f>
        <v>1</v>
      </c>
      <c r="K1164" s="45" t="s">
        <v>1246</v>
      </c>
      <c r="L1164" s="46" t="s">
        <v>1252</v>
      </c>
      <c r="M1164" s="21" t="s">
        <v>1253</v>
      </c>
      <c r="N1164" s="48">
        <v>45649</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2</v>
      </c>
      <c r="X1164" s="114"/>
    </row>
    <row r="1165" spans="2:24" ht="17.7" hidden="1" customHeight="1">
      <c r="B1165" s="39" t="s">
        <v>26</v>
      </c>
      <c r="C1165" s="39" t="s">
        <v>26</v>
      </c>
      <c r="D1165" s="39" t="s">
        <v>1349</v>
      </c>
      <c r="E1165" s="39" t="s">
        <v>1331</v>
      </c>
      <c r="F1165" s="40" t="s">
        <v>1948</v>
      </c>
      <c r="G1165" s="39" t="s">
        <v>383</v>
      </c>
      <c r="H1165" s="59" t="str">
        <f>Table1[[#This Row],[Tabela]]&amp;Table1[[#This Row],[Campo]]</f>
        <v>lt007_instr_activityenvrnmntl_objctv</v>
      </c>
      <c r="I1165" s="2" t="s">
        <v>613</v>
      </c>
      <c r="J1165" s="45">
        <f>VLOOKUP(Table1[[#This Row],[Status]],Auxiliar!$B$16:$C$24,2,0)</f>
        <v>1</v>
      </c>
      <c r="K1165" s="45" t="s">
        <v>1247</v>
      </c>
      <c r="L1165" s="46" t="s">
        <v>1252</v>
      </c>
      <c r="M1165" s="21" t="s">
        <v>1253</v>
      </c>
      <c r="N1165" s="48">
        <v>45649</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2</v>
      </c>
      <c r="X1165" s="114"/>
    </row>
    <row r="1166" spans="2:24" ht="17.7" hidden="1" customHeight="1">
      <c r="B1166" s="39" t="s">
        <v>26</v>
      </c>
      <c r="C1166" s="39" t="s">
        <v>26</v>
      </c>
      <c r="D1166" s="39" t="s">
        <v>1349</v>
      </c>
      <c r="E1166" s="39" t="s">
        <v>1331</v>
      </c>
      <c r="F1166" s="40" t="s">
        <v>1948</v>
      </c>
      <c r="G1166" s="39" t="s">
        <v>383</v>
      </c>
      <c r="H1166" s="59" t="str">
        <f>Table1[[#This Row],[Tabela]]&amp;Table1[[#This Row],[Campo]]</f>
        <v>lt007_instr_activityenvrnmntl_objctv</v>
      </c>
      <c r="I1166" s="2" t="s">
        <v>613</v>
      </c>
      <c r="J1166" s="45">
        <f>VLOOKUP(Table1[[#This Row],[Status]],Auxiliar!$B$16:$C$24,2,0)</f>
        <v>1</v>
      </c>
      <c r="K1166" s="45" t="s">
        <v>1249</v>
      </c>
      <c r="L1166" s="46" t="s">
        <v>1252</v>
      </c>
      <c r="M1166" s="21" t="s">
        <v>1253</v>
      </c>
      <c r="N1166" s="48">
        <v>45649</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0.1</v>
      </c>
      <c r="X1166" s="114"/>
    </row>
    <row r="1167" spans="2:24" ht="17.7" hidden="1" customHeight="1">
      <c r="B1167" s="41" t="s">
        <v>26</v>
      </c>
      <c r="C1167" s="41" t="s">
        <v>26</v>
      </c>
      <c r="D1167" s="37" t="s">
        <v>1349</v>
      </c>
      <c r="E1167" s="42" t="s">
        <v>1331</v>
      </c>
      <c r="F1167" s="40" t="s">
        <v>1948</v>
      </c>
      <c r="G1167" s="38" t="s">
        <v>384</v>
      </c>
      <c r="H1167" s="60" t="str">
        <f>Table1[[#This Row],[Tabela]]&amp;Table1[[#This Row],[Campo]]</f>
        <v>lt007_instr_activitytyp_actvty</v>
      </c>
      <c r="I1167" s="2" t="s">
        <v>613</v>
      </c>
      <c r="J1167" s="45">
        <f>VLOOKUP(Table1[[#This Row],[Status]],Auxiliar!$B$16:$C$24,2,0)</f>
        <v>1</v>
      </c>
      <c r="K1167" s="45" t="s">
        <v>1246</v>
      </c>
      <c r="L1167" s="46" t="s">
        <v>1252</v>
      </c>
      <c r="M1167" s="21" t="s">
        <v>1253</v>
      </c>
      <c r="N1167" s="48">
        <v>45649</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2</v>
      </c>
      <c r="X1167" s="114"/>
    </row>
    <row r="1168" spans="2:24" ht="17.7" hidden="1" customHeight="1">
      <c r="B1168" s="39" t="s">
        <v>26</v>
      </c>
      <c r="C1168" s="39" t="s">
        <v>26</v>
      </c>
      <c r="D1168" s="39" t="s">
        <v>1349</v>
      </c>
      <c r="E1168" s="39" t="s">
        <v>1331</v>
      </c>
      <c r="F1168" s="40" t="s">
        <v>1948</v>
      </c>
      <c r="G1168" s="39" t="s">
        <v>384</v>
      </c>
      <c r="H1168" s="59" t="str">
        <f>Table1[[#This Row],[Tabela]]&amp;Table1[[#This Row],[Campo]]</f>
        <v>lt007_instr_activitytyp_actvty</v>
      </c>
      <c r="I1168" s="2" t="s">
        <v>613</v>
      </c>
      <c r="J1168" s="45">
        <f>VLOOKUP(Table1[[#This Row],[Status]],Auxiliar!$B$16:$C$24,2,0)</f>
        <v>1</v>
      </c>
      <c r="K1168" s="45" t="s">
        <v>1247</v>
      </c>
      <c r="L1168" s="46" t="s">
        <v>1252</v>
      </c>
      <c r="M1168" s="21" t="s">
        <v>1253</v>
      </c>
      <c r="N1168" s="48">
        <v>45649</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2</v>
      </c>
      <c r="X1168" s="114"/>
    </row>
    <row r="1169" spans="2:24" ht="17.7" hidden="1" customHeight="1">
      <c r="B1169" s="39" t="s">
        <v>26</v>
      </c>
      <c r="C1169" s="39" t="s">
        <v>26</v>
      </c>
      <c r="D1169" s="39" t="s">
        <v>1349</v>
      </c>
      <c r="E1169" s="39" t="s">
        <v>1331</v>
      </c>
      <c r="F1169" s="40" t="s">
        <v>1948</v>
      </c>
      <c r="G1169" s="39" t="s">
        <v>384</v>
      </c>
      <c r="H1169" s="59" t="str">
        <f>Table1[[#This Row],[Tabela]]&amp;Table1[[#This Row],[Campo]]</f>
        <v>lt007_instr_activitytyp_actvty</v>
      </c>
      <c r="I1169" s="2" t="s">
        <v>613</v>
      </c>
      <c r="J1169" s="45">
        <f>VLOOKUP(Table1[[#This Row],[Status]],Auxiliar!$B$16:$C$24,2,0)</f>
        <v>1</v>
      </c>
      <c r="K1169" s="45" t="s">
        <v>1249</v>
      </c>
      <c r="L1169" s="46" t="s">
        <v>1252</v>
      </c>
      <c r="M1169" s="21" t="s">
        <v>1253</v>
      </c>
      <c r="N1169" s="48">
        <v>45649</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0.1</v>
      </c>
      <c r="X1169" s="114"/>
    </row>
    <row r="1170" spans="2:24" ht="17.7" hidden="1" customHeight="1">
      <c r="B1170" s="41" t="s">
        <v>26</v>
      </c>
      <c r="C1170" s="41" t="s">
        <v>26</v>
      </c>
      <c r="D1170" s="38" t="s">
        <v>1349</v>
      </c>
      <c r="E1170" s="42" t="s">
        <v>1331</v>
      </c>
      <c r="F1170" s="40" t="s">
        <v>380</v>
      </c>
      <c r="G1170" s="38" t="s">
        <v>385</v>
      </c>
      <c r="H1170" s="60" t="str">
        <f>Table1[[#This Row],[Tabela]]&amp;Table1[[#This Row],[Campo]]</f>
        <v>lt002_instrumentlns_clltrlzd_clssfctn</v>
      </c>
      <c r="I1170" s="2" t="s">
        <v>613</v>
      </c>
      <c r="J1170" s="45">
        <f>VLOOKUP(Table1[[#This Row],[Status]],Auxiliar!$B$16:$C$24,2,0)</f>
        <v>1</v>
      </c>
      <c r="K1170" s="45" t="s">
        <v>1246</v>
      </c>
      <c r="L1170" s="46" t="s">
        <v>1252</v>
      </c>
      <c r="M1170" s="21" t="s">
        <v>1253</v>
      </c>
      <c r="N1170" s="48">
        <v>45583</v>
      </c>
      <c r="O1170" s="21">
        <f>INDEX(Auxiliar!$D$5:$F$13,MATCH(Table1[[#This Row],[Tipologia_Testes]],Auxiliar!$B$5:$B$13,0),MATCH(Table1[[#This Row],[Complexidade]],Auxiliar!$D$4:$F$4,0))</f>
        <v>2</v>
      </c>
      <c r="P1170" s="43" t="s">
        <v>1356</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1349</v>
      </c>
      <c r="E1171" s="39" t="s">
        <v>1331</v>
      </c>
      <c r="F1171" s="39" t="s">
        <v>380</v>
      </c>
      <c r="G1171" s="39" t="s">
        <v>385</v>
      </c>
      <c r="H1171" s="59" t="str">
        <f>Table1[[#This Row],[Tabela]]&amp;Table1[[#This Row],[Campo]]</f>
        <v>lt002_instrumentlns_clltrlzd_clssfctn</v>
      </c>
      <c r="I1171" s="2" t="s">
        <v>613</v>
      </c>
      <c r="J1171" s="45">
        <f>VLOOKUP(Table1[[#This Row],[Status]],Auxiliar!$B$16:$C$24,2,0)</f>
        <v>1</v>
      </c>
      <c r="K1171" s="45" t="s">
        <v>1247</v>
      </c>
      <c r="L1171" s="46" t="s">
        <v>1252</v>
      </c>
      <c r="M1171" s="21" t="s">
        <v>1253</v>
      </c>
      <c r="N1171" s="48">
        <v>45596</v>
      </c>
      <c r="O1171" s="21">
        <f>INDEX(Auxiliar!$D$5:$F$13,MATCH(Table1[[#This Row],[Tipologia_Testes]],Auxiliar!$B$5:$B$13,0),MATCH(Table1[[#This Row],[Complexidade]],Auxiliar!$D$4:$F$4,0))</f>
        <v>2</v>
      </c>
      <c r="P1171" s="43" t="s">
        <v>1356</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1349</v>
      </c>
      <c r="E1172" s="39" t="s">
        <v>1331</v>
      </c>
      <c r="F1172" s="39" t="s">
        <v>380</v>
      </c>
      <c r="G1172" s="39" t="s">
        <v>385</v>
      </c>
      <c r="H1172" s="59" t="str">
        <f>Table1[[#This Row],[Tabela]]&amp;Table1[[#This Row],[Campo]]</f>
        <v>lt002_instrumentlns_clltrlzd_clssfctn</v>
      </c>
      <c r="I1172" s="2" t="s">
        <v>613</v>
      </c>
      <c r="J1172" s="45">
        <f>VLOOKUP(Table1[[#This Row],[Status]],Auxiliar!$B$16:$C$24,2,0)</f>
        <v>1</v>
      </c>
      <c r="K1172" s="45" t="s">
        <v>1249</v>
      </c>
      <c r="L1172" s="46" t="s">
        <v>1252</v>
      </c>
      <c r="M1172" s="21" t="s">
        <v>1253</v>
      </c>
      <c r="N1172" s="48">
        <v>45596</v>
      </c>
      <c r="O1172" s="21">
        <f>INDEX(Auxiliar!$D$5:$F$13,MATCH(Table1[[#This Row],[Tipologia_Testes]],Auxiliar!$B$5:$B$13,0),MATCH(Table1[[#This Row],[Complexidade]],Auxiliar!$D$4:$F$4,0))</f>
        <v>0.1</v>
      </c>
      <c r="P1172" s="43" t="s">
        <v>1356</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1949</v>
      </c>
      <c r="E1173" s="111" t="s">
        <v>38</v>
      </c>
      <c r="F1173" s="40" t="s">
        <v>380</v>
      </c>
      <c r="G1173" s="38" t="s">
        <v>386</v>
      </c>
      <c r="H1173" s="60" t="str">
        <f>Table1[[#This Row],[Tabela]]&amp;Table1[[#This Row],[Campo]]</f>
        <v>lt002_instrumentmthd_usd_instrmnt_scp_1</v>
      </c>
      <c r="I1173" s="2" t="s">
        <v>614</v>
      </c>
      <c r="J1173" s="45">
        <f>VLOOKUP(Table1[[#This Row],[Status]],Auxiliar!$B$16:$C$24,2,0)</f>
        <v>4</v>
      </c>
      <c r="K1173" s="45" t="s">
        <v>1246</v>
      </c>
      <c r="L1173" s="46" t="s">
        <v>1252</v>
      </c>
      <c r="M1173" s="21" t="s">
        <v>1253</v>
      </c>
      <c r="N1173" s="48">
        <v>45667</v>
      </c>
      <c r="O1173" s="21">
        <f>INDEX(Auxiliar!$D$5:$F$13,MATCH(Table1[[#This Row],[Tipologia_Testes]],Auxiliar!$B$5:$B$13,0),MATCH(Table1[[#This Row],[Complexidade]],Auxiliar!$D$4:$F$4,0))</f>
        <v>2</v>
      </c>
      <c r="P1173" s="43"/>
      <c r="Q1173" s="152"/>
      <c r="R1173" s="152">
        <v>45622</v>
      </c>
      <c r="S1173" s="152"/>
      <c r="T1173" s="152"/>
      <c r="U1173" s="152">
        <v>45631</v>
      </c>
      <c r="V1173" s="152">
        <v>45631</v>
      </c>
      <c r="W1173" s="2">
        <f>VLOOKUP(Table1[[#This Row],[Status]],Auxiliar!$B$16:$D$24,3,0)*Table1[[#This Row],[Estimação (horas)]]</f>
        <v>0.5</v>
      </c>
      <c r="X1173" s="114"/>
    </row>
    <row r="1174" spans="2:24" ht="17.7" hidden="1" customHeight="1">
      <c r="B1174" s="39" t="s">
        <v>26</v>
      </c>
      <c r="C1174" s="39" t="s">
        <v>26</v>
      </c>
      <c r="D1174" s="39" t="s">
        <v>1949</v>
      </c>
      <c r="E1174" s="39" t="s">
        <v>38</v>
      </c>
      <c r="F1174" s="39" t="s">
        <v>380</v>
      </c>
      <c r="G1174" s="39" t="s">
        <v>386</v>
      </c>
      <c r="H1174" s="59" t="str">
        <f>Table1[[#This Row],[Tabela]]&amp;Table1[[#This Row],[Campo]]</f>
        <v>lt002_instrumentmthd_usd_instrmnt_scp_1</v>
      </c>
      <c r="I1174" s="2" t="s">
        <v>614</v>
      </c>
      <c r="J1174" s="45">
        <f>VLOOKUP(Table1[[#This Row],[Status]],Auxiliar!$B$16:$C$24,2,0)</f>
        <v>4</v>
      </c>
      <c r="K1174" s="45" t="s">
        <v>1247</v>
      </c>
      <c r="L1174" s="46" t="s">
        <v>1252</v>
      </c>
      <c r="M1174" s="21" t="s">
        <v>1253</v>
      </c>
      <c r="N1174" s="48">
        <v>45667</v>
      </c>
      <c r="O1174" s="21">
        <f>INDEX(Auxiliar!$D$5:$F$13,MATCH(Table1[[#This Row],[Tipologia_Testes]],Auxiliar!$B$5:$B$13,0),MATCH(Table1[[#This Row],[Complexidade]],Auxiliar!$D$4:$F$4,0))</f>
        <v>2</v>
      </c>
      <c r="P1174" s="43"/>
      <c r="Q1174" s="152"/>
      <c r="R1174" s="152">
        <v>45622</v>
      </c>
      <c r="S1174" s="152"/>
      <c r="T1174" s="152"/>
      <c r="U1174" s="152">
        <v>45631</v>
      </c>
      <c r="V1174" s="152">
        <v>45631</v>
      </c>
      <c r="W1174" s="2">
        <f>VLOOKUP(Table1[[#This Row],[Status]],Auxiliar!$B$16:$D$24,3,0)*Table1[[#This Row],[Estimação (horas)]]</f>
        <v>0.5</v>
      </c>
      <c r="X1174" s="114"/>
    </row>
    <row r="1175" spans="2:24" ht="17.7" hidden="1" customHeight="1">
      <c r="B1175" s="39" t="s">
        <v>26</v>
      </c>
      <c r="C1175" s="39" t="s">
        <v>26</v>
      </c>
      <c r="D1175" s="39" t="s">
        <v>1949</v>
      </c>
      <c r="E1175" s="39" t="s">
        <v>38</v>
      </c>
      <c r="F1175" s="39" t="s">
        <v>380</v>
      </c>
      <c r="G1175" s="39" t="s">
        <v>386</v>
      </c>
      <c r="H1175" s="59" t="str">
        <f>Table1[[#This Row],[Tabela]]&amp;Table1[[#This Row],[Campo]]</f>
        <v>lt002_instrumentmthd_usd_instrmnt_scp_1</v>
      </c>
      <c r="I1175" s="2" t="s">
        <v>614</v>
      </c>
      <c r="J1175" s="45">
        <f>VLOOKUP(Table1[[#This Row],[Status]],Auxiliar!$B$16:$C$24,2,0)</f>
        <v>4</v>
      </c>
      <c r="K1175" s="45" t="s">
        <v>1249</v>
      </c>
      <c r="L1175" s="46" t="s">
        <v>1252</v>
      </c>
      <c r="M1175" s="21" t="s">
        <v>1253</v>
      </c>
      <c r="N1175" s="48">
        <v>45667</v>
      </c>
      <c r="O1175" s="21">
        <f>INDEX(Auxiliar!$D$5:$F$13,MATCH(Table1[[#This Row],[Tipologia_Testes]],Auxiliar!$B$5:$B$13,0),MATCH(Table1[[#This Row],[Complexidade]],Auxiliar!$D$4:$F$4,0))</f>
        <v>0.1</v>
      </c>
      <c r="P1175" s="43"/>
      <c r="Q1175" s="152"/>
      <c r="R1175" s="152">
        <v>45622</v>
      </c>
      <c r="S1175" s="152"/>
      <c r="T1175" s="152"/>
      <c r="U1175" s="152">
        <v>45631</v>
      </c>
      <c r="V1175" s="152">
        <v>45631</v>
      </c>
      <c r="W1175" s="2">
        <f>VLOOKUP(Table1[[#This Row],[Status]],Auxiliar!$B$16:$D$24,3,0)*Table1[[#This Row],[Estimação (horas)]]</f>
        <v>2.5000000000000001E-2</v>
      </c>
      <c r="X1175" s="114"/>
    </row>
    <row r="1176" spans="2:24" ht="34.950000000000003" hidden="1" customHeight="1">
      <c r="B1176" s="41" t="s">
        <v>26</v>
      </c>
      <c r="C1176" s="41" t="s">
        <v>26</v>
      </c>
      <c r="D1176" s="37" t="s">
        <v>1949</v>
      </c>
      <c r="E1176" s="111" t="s">
        <v>38</v>
      </c>
      <c r="F1176" s="40" t="s">
        <v>380</v>
      </c>
      <c r="G1176" s="38" t="s">
        <v>387</v>
      </c>
      <c r="H1176" s="60" t="str">
        <f>Table1[[#This Row],[Tabela]]&amp;Table1[[#This Row],[Campo]]</f>
        <v>lt002_instrumentmthd_usd_instrmnt_scp_2</v>
      </c>
      <c r="I1176" s="2" t="s">
        <v>614</v>
      </c>
      <c r="J1176" s="45">
        <f>VLOOKUP(Table1[[#This Row],[Status]],Auxiliar!$B$16:$C$24,2,0)</f>
        <v>4</v>
      </c>
      <c r="K1176" s="45" t="s">
        <v>1246</v>
      </c>
      <c r="L1176" s="46" t="s">
        <v>1252</v>
      </c>
      <c r="M1176" s="21" t="s">
        <v>1253</v>
      </c>
      <c r="N1176" s="48">
        <v>45667</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0.5</v>
      </c>
      <c r="X1176" s="114"/>
    </row>
    <row r="1177" spans="2:24" ht="17.7" hidden="1" customHeight="1">
      <c r="B1177" s="39" t="s">
        <v>26</v>
      </c>
      <c r="C1177" s="39" t="s">
        <v>26</v>
      </c>
      <c r="D1177" s="39" t="s">
        <v>1949</v>
      </c>
      <c r="E1177" s="39" t="s">
        <v>38</v>
      </c>
      <c r="F1177" s="39" t="s">
        <v>380</v>
      </c>
      <c r="G1177" s="39" t="s">
        <v>387</v>
      </c>
      <c r="H1177" s="59" t="str">
        <f>Table1[[#This Row],[Tabela]]&amp;Table1[[#This Row],[Campo]]</f>
        <v>lt002_instrumentmthd_usd_instrmnt_scp_2</v>
      </c>
      <c r="I1177" s="2" t="s">
        <v>614</v>
      </c>
      <c r="J1177" s="45">
        <f>VLOOKUP(Table1[[#This Row],[Status]],Auxiliar!$B$16:$C$24,2,0)</f>
        <v>4</v>
      </c>
      <c r="K1177" s="45" t="s">
        <v>1247</v>
      </c>
      <c r="L1177" s="46" t="s">
        <v>1252</v>
      </c>
      <c r="M1177" s="21" t="s">
        <v>1253</v>
      </c>
      <c r="N1177" s="48">
        <v>45667</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0.5</v>
      </c>
      <c r="X1177" s="114"/>
    </row>
    <row r="1178" spans="2:24" ht="17.7" hidden="1" customHeight="1">
      <c r="B1178" s="39" t="s">
        <v>26</v>
      </c>
      <c r="C1178" s="39" t="s">
        <v>26</v>
      </c>
      <c r="D1178" s="39" t="s">
        <v>1949</v>
      </c>
      <c r="E1178" s="39" t="s">
        <v>38</v>
      </c>
      <c r="F1178" s="39" t="s">
        <v>380</v>
      </c>
      <c r="G1178" s="39" t="s">
        <v>387</v>
      </c>
      <c r="H1178" s="59" t="str">
        <f>Table1[[#This Row],[Tabela]]&amp;Table1[[#This Row],[Campo]]</f>
        <v>lt002_instrumentmthd_usd_instrmnt_scp_2</v>
      </c>
      <c r="I1178" s="2" t="s">
        <v>614</v>
      </c>
      <c r="J1178" s="45">
        <f>VLOOKUP(Table1[[#This Row],[Status]],Auxiliar!$B$16:$C$24,2,0)</f>
        <v>4</v>
      </c>
      <c r="K1178" s="45" t="s">
        <v>1249</v>
      </c>
      <c r="L1178" s="46" t="s">
        <v>1252</v>
      </c>
      <c r="M1178" s="21" t="s">
        <v>1253</v>
      </c>
      <c r="N1178" s="48">
        <v>45667</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2.5000000000000001E-2</v>
      </c>
      <c r="X1178" s="114"/>
    </row>
    <row r="1179" spans="2:24" ht="34.950000000000003" hidden="1" customHeight="1">
      <c r="B1179" s="39" t="s">
        <v>26</v>
      </c>
      <c r="C1179" s="39" t="s">
        <v>26</v>
      </c>
      <c r="D1179" s="37" t="s">
        <v>1949</v>
      </c>
      <c r="E1179" s="111" t="s">
        <v>38</v>
      </c>
      <c r="F1179" s="40" t="s">
        <v>380</v>
      </c>
      <c r="G1179" s="38" t="s">
        <v>388</v>
      </c>
      <c r="H1179" s="60" t="str">
        <f>Table1[[#This Row],[Tabela]]&amp;Table1[[#This Row],[Campo]]</f>
        <v>lt002_instrumentmthd_usd_instrmnt_scp_3</v>
      </c>
      <c r="I1179" s="2" t="s">
        <v>614</v>
      </c>
      <c r="J1179" s="45">
        <f>VLOOKUP(Table1[[#This Row],[Status]],Auxiliar!$B$16:$C$24,2,0)</f>
        <v>4</v>
      </c>
      <c r="K1179" s="45" t="s">
        <v>1246</v>
      </c>
      <c r="L1179" s="46" t="s">
        <v>1252</v>
      </c>
      <c r="M1179" s="21" t="s">
        <v>1253</v>
      </c>
      <c r="N1179" s="48">
        <v>45667</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0.5</v>
      </c>
      <c r="X1179" s="114"/>
    </row>
    <row r="1180" spans="2:24" ht="17.7" hidden="1" customHeight="1">
      <c r="B1180" s="39" t="s">
        <v>26</v>
      </c>
      <c r="C1180" s="39" t="s">
        <v>26</v>
      </c>
      <c r="D1180" s="39" t="s">
        <v>1949</v>
      </c>
      <c r="E1180" s="39" t="s">
        <v>38</v>
      </c>
      <c r="F1180" s="39" t="s">
        <v>380</v>
      </c>
      <c r="G1180" s="39" t="s">
        <v>388</v>
      </c>
      <c r="H1180" s="59" t="str">
        <f>Table1[[#This Row],[Tabela]]&amp;Table1[[#This Row],[Campo]]</f>
        <v>lt002_instrumentmthd_usd_instrmnt_scp_3</v>
      </c>
      <c r="I1180" s="2" t="s">
        <v>614</v>
      </c>
      <c r="J1180" s="45">
        <f>VLOOKUP(Table1[[#This Row],[Status]],Auxiliar!$B$16:$C$24,2,0)</f>
        <v>4</v>
      </c>
      <c r="K1180" s="45" t="s">
        <v>1247</v>
      </c>
      <c r="L1180" s="46" t="s">
        <v>1252</v>
      </c>
      <c r="M1180" s="21" t="s">
        <v>1253</v>
      </c>
      <c r="N1180" s="48">
        <v>45667</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0.5</v>
      </c>
      <c r="X1180" s="114"/>
    </row>
    <row r="1181" spans="2:24" ht="17.7" hidden="1" customHeight="1">
      <c r="B1181" s="39" t="s">
        <v>26</v>
      </c>
      <c r="C1181" s="39" t="s">
        <v>26</v>
      </c>
      <c r="D1181" s="39" t="s">
        <v>1949</v>
      </c>
      <c r="E1181" s="39" t="s">
        <v>38</v>
      </c>
      <c r="F1181" s="39" t="s">
        <v>380</v>
      </c>
      <c r="G1181" s="39" t="s">
        <v>388</v>
      </c>
      <c r="H1181" s="59" t="str">
        <f>Table1[[#This Row],[Tabela]]&amp;Table1[[#This Row],[Campo]]</f>
        <v>lt002_instrumentmthd_usd_instrmnt_scp_3</v>
      </c>
      <c r="I1181" s="2" t="s">
        <v>614</v>
      </c>
      <c r="J1181" s="45">
        <f>VLOOKUP(Table1[[#This Row],[Status]],Auxiliar!$B$16:$C$24,2,0)</f>
        <v>4</v>
      </c>
      <c r="K1181" s="45" t="s">
        <v>1249</v>
      </c>
      <c r="L1181" s="46" t="s">
        <v>1252</v>
      </c>
      <c r="M1181" s="21" t="s">
        <v>1253</v>
      </c>
      <c r="N1181" s="48">
        <v>45667</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2.5000000000000001E-2</v>
      </c>
      <c r="X1181" s="114"/>
    </row>
    <row r="1182" spans="2:24" ht="17.7" hidden="1" customHeight="1">
      <c r="B1182" s="39" t="s">
        <v>26</v>
      </c>
      <c r="C1182" s="39" t="s">
        <v>26</v>
      </c>
      <c r="D1182" s="40" t="s">
        <v>1357</v>
      </c>
      <c r="E1182" s="42" t="s">
        <v>1358</v>
      </c>
      <c r="F1182" s="40" t="s">
        <v>380</v>
      </c>
      <c r="G1182" s="38" t="s">
        <v>389</v>
      </c>
      <c r="H1182" s="60" t="str">
        <f>Table1[[#This Row],[Tabela]]&amp;Table1[[#This Row],[Campo]]</f>
        <v>lt002_instrumentsstnbl_ctgry_txnmy</v>
      </c>
      <c r="I1182" s="2" t="s">
        <v>613</v>
      </c>
      <c r="J1182" s="45">
        <f>VLOOKUP(Table1[[#This Row],[Status]],Auxiliar!$B$16:$C$24,2,0)</f>
        <v>1</v>
      </c>
      <c r="K1182" s="45" t="s">
        <v>1246</v>
      </c>
      <c r="L1182" s="46" t="s">
        <v>1252</v>
      </c>
      <c r="M1182" s="21" t="s">
        <v>1253</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1357</v>
      </c>
      <c r="E1183" s="39" t="s">
        <v>1358</v>
      </c>
      <c r="F1183" s="39" t="s">
        <v>380</v>
      </c>
      <c r="G1183" s="39" t="s">
        <v>389</v>
      </c>
      <c r="H1183" s="59" t="str">
        <f>Table1[[#This Row],[Tabela]]&amp;Table1[[#This Row],[Campo]]</f>
        <v>lt002_instrumentsstnbl_ctgry_txnmy</v>
      </c>
      <c r="I1183" s="2" t="s">
        <v>613</v>
      </c>
      <c r="J1183" s="45">
        <f>VLOOKUP(Table1[[#This Row],[Status]],Auxiliar!$B$16:$C$24,2,0)</f>
        <v>1</v>
      </c>
      <c r="K1183" s="45" t="s">
        <v>1247</v>
      </c>
      <c r="L1183" s="46" t="s">
        <v>1252</v>
      </c>
      <c r="M1183" s="21" t="s">
        <v>1253</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1357</v>
      </c>
      <c r="E1184" s="39" t="s">
        <v>1358</v>
      </c>
      <c r="F1184" s="39" t="s">
        <v>380</v>
      </c>
      <c r="G1184" s="39" t="s">
        <v>389</v>
      </c>
      <c r="H1184" s="59" t="str">
        <f>Table1[[#This Row],[Tabela]]&amp;Table1[[#This Row],[Campo]]</f>
        <v>lt002_instrumentsstnbl_ctgry_txnmy</v>
      </c>
      <c r="I1184" s="2" t="s">
        <v>613</v>
      </c>
      <c r="J1184" s="45">
        <f>VLOOKUP(Table1[[#This Row],[Status]],Auxiliar!$B$16:$C$24,2,0)</f>
        <v>1</v>
      </c>
      <c r="K1184" s="45" t="s">
        <v>1249</v>
      </c>
      <c r="L1184" s="46" t="s">
        <v>1252</v>
      </c>
      <c r="M1184" s="21" t="s">
        <v>1253</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1949</v>
      </c>
      <c r="G1185" s="40" t="s">
        <v>391</v>
      </c>
      <c r="H1185" s="60" t="str">
        <f>Table1[[#This Row],[Tabela]]&amp;Table1[[#This Row],[Campo]]</f>
        <v>lt827_mthd_usd_instrmntambito</v>
      </c>
      <c r="I1185" s="2" t="s">
        <v>613</v>
      </c>
      <c r="J1185" s="45">
        <f>VLOOKUP(Table1[[#This Row],[Status]],Auxiliar!$B$16:$C$24,2,0)</f>
        <v>1</v>
      </c>
      <c r="K1185" s="45" t="s">
        <v>1246</v>
      </c>
      <c r="L1185" s="46" t="s">
        <v>1252</v>
      </c>
      <c r="M1185" s="21" t="s">
        <v>1253</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1949</v>
      </c>
      <c r="G1186" s="39" t="s">
        <v>391</v>
      </c>
      <c r="H1186" s="59" t="str">
        <f>Table1[[#This Row],[Tabela]]&amp;Table1[[#This Row],[Campo]]</f>
        <v>lt827_mthd_usd_instrmntambito</v>
      </c>
      <c r="I1186" s="2" t="s">
        <v>613</v>
      </c>
      <c r="J1186" s="45">
        <f>VLOOKUP(Table1[[#This Row],[Status]],Auxiliar!$B$16:$C$24,2,0)</f>
        <v>1</v>
      </c>
      <c r="K1186" s="45" t="s">
        <v>1247</v>
      </c>
      <c r="L1186" s="46" t="s">
        <v>1252</v>
      </c>
      <c r="M1186" s="21" t="s">
        <v>1253</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1949</v>
      </c>
      <c r="G1187" s="39" t="s">
        <v>391</v>
      </c>
      <c r="H1187" s="59" t="str">
        <f>Table1[[#This Row],[Tabela]]&amp;Table1[[#This Row],[Campo]]</f>
        <v>lt827_mthd_usd_instrmntambito</v>
      </c>
      <c r="I1187" s="2" t="s">
        <v>613</v>
      </c>
      <c r="J1187" s="45">
        <f>VLOOKUP(Table1[[#This Row],[Status]],Auxiliar!$B$16:$C$24,2,0)</f>
        <v>1</v>
      </c>
      <c r="K1187" s="45" t="s">
        <v>1249</v>
      </c>
      <c r="L1187" s="46" t="s">
        <v>1252</v>
      </c>
      <c r="M1187" s="21" t="s">
        <v>1253</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1949</v>
      </c>
      <c r="G1188" s="40" t="s">
        <v>208</v>
      </c>
      <c r="H1188" s="60" t="str">
        <f>Table1[[#This Row],[Tabela]]&amp;Table1[[#This Row],[Campo]]</f>
        <v>lt827_mthd_usd_instrmntref_date</v>
      </c>
      <c r="I1188" s="2" t="s">
        <v>613</v>
      </c>
      <c r="J1188" s="45">
        <f>VLOOKUP(Table1[[#This Row],[Status]],Auxiliar!$B$16:$C$24,2,0)</f>
        <v>1</v>
      </c>
      <c r="K1188" s="45" t="s">
        <v>1246</v>
      </c>
      <c r="L1188" s="46" t="s">
        <v>1252</v>
      </c>
      <c r="M1188" s="21" t="s">
        <v>1253</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1949</v>
      </c>
      <c r="G1189" s="39" t="s">
        <v>208</v>
      </c>
      <c r="H1189" s="59" t="str">
        <f>Table1[[#This Row],[Tabela]]&amp;Table1[[#This Row],[Campo]]</f>
        <v>lt827_mthd_usd_instrmntref_date</v>
      </c>
      <c r="I1189" s="2" t="s">
        <v>613</v>
      </c>
      <c r="J1189" s="45">
        <f>VLOOKUP(Table1[[#This Row],[Status]],Auxiliar!$B$16:$C$24,2,0)</f>
        <v>1</v>
      </c>
      <c r="K1189" s="45" t="s">
        <v>1247</v>
      </c>
      <c r="L1189" s="46" t="s">
        <v>1252</v>
      </c>
      <c r="M1189" s="21" t="s">
        <v>1253</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1949</v>
      </c>
      <c r="G1190" s="39" t="s">
        <v>208</v>
      </c>
      <c r="H1190" s="59" t="str">
        <f>Table1[[#This Row],[Tabela]]&amp;Table1[[#This Row],[Campo]]</f>
        <v>lt827_mthd_usd_instrmntref_date</v>
      </c>
      <c r="I1190" s="2" t="s">
        <v>613</v>
      </c>
      <c r="J1190" s="45">
        <f>VLOOKUP(Table1[[#This Row],[Status]],Auxiliar!$B$16:$C$24,2,0)</f>
        <v>1</v>
      </c>
      <c r="K1190" s="45" t="s">
        <v>1249</v>
      </c>
      <c r="L1190" s="46" t="s">
        <v>1252</v>
      </c>
      <c r="M1190" s="21" t="s">
        <v>1253</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1949</v>
      </c>
      <c r="G1191" s="40" t="s">
        <v>211</v>
      </c>
      <c r="H1191" s="60" t="str">
        <f>Table1[[#This Row],[Tabela]]&amp;Table1[[#This Row],[Campo]]</f>
        <v>lt827_mthd_usd_instrmntordem</v>
      </c>
      <c r="I1191" s="2" t="s">
        <v>613</v>
      </c>
      <c r="J1191" s="45">
        <f>VLOOKUP(Table1[[#This Row],[Status]],Auxiliar!$B$16:$C$24,2,0)</f>
        <v>1</v>
      </c>
      <c r="K1191" s="45" t="s">
        <v>1246</v>
      </c>
      <c r="L1191" s="46" t="s">
        <v>1252</v>
      </c>
      <c r="M1191" s="21" t="s">
        <v>1253</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1949</v>
      </c>
      <c r="G1192" s="39" t="s">
        <v>211</v>
      </c>
      <c r="H1192" s="59" t="str">
        <f>Table1[[#This Row],[Tabela]]&amp;Table1[[#This Row],[Campo]]</f>
        <v>lt827_mthd_usd_instrmntordem</v>
      </c>
      <c r="I1192" s="2" t="s">
        <v>613</v>
      </c>
      <c r="J1192" s="45">
        <f>VLOOKUP(Table1[[#This Row],[Status]],Auxiliar!$B$16:$C$24,2,0)</f>
        <v>1</v>
      </c>
      <c r="K1192" s="45" t="s">
        <v>1247</v>
      </c>
      <c r="L1192" s="46" t="s">
        <v>1252</v>
      </c>
      <c r="M1192" s="21" t="s">
        <v>1253</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1949</v>
      </c>
      <c r="G1193" s="39" t="s">
        <v>211</v>
      </c>
      <c r="H1193" s="59" t="str">
        <f>Table1[[#This Row],[Tabela]]&amp;Table1[[#This Row],[Campo]]</f>
        <v>lt827_mthd_usd_instrmntordem</v>
      </c>
      <c r="I1193" s="2" t="s">
        <v>613</v>
      </c>
      <c r="J1193" s="45">
        <f>VLOOKUP(Table1[[#This Row],[Status]],Auxiliar!$B$16:$C$24,2,0)</f>
        <v>1</v>
      </c>
      <c r="K1193" s="45" t="s">
        <v>1249</v>
      </c>
      <c r="L1193" s="46" t="s">
        <v>1252</v>
      </c>
      <c r="M1193" s="21" t="s">
        <v>1253</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1949</v>
      </c>
      <c r="G1194" s="40" t="s">
        <v>392</v>
      </c>
      <c r="H1194" s="60" t="str">
        <f>Table1[[#This Row],[Tabela]]&amp;Table1[[#This Row],[Campo]]</f>
        <v>lt827_mthd_usd_instrmnttabela</v>
      </c>
      <c r="I1194" s="2" t="s">
        <v>613</v>
      </c>
      <c r="J1194" s="45">
        <f>VLOOKUP(Table1[[#This Row],[Status]],Auxiliar!$B$16:$C$24,2,0)</f>
        <v>1</v>
      </c>
      <c r="K1194" s="45" t="s">
        <v>1246</v>
      </c>
      <c r="L1194" s="46" t="s">
        <v>1252</v>
      </c>
      <c r="M1194" s="21" t="s">
        <v>1253</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1949</v>
      </c>
      <c r="G1195" s="39" t="s">
        <v>392</v>
      </c>
      <c r="H1195" s="59" t="str">
        <f>Table1[[#This Row],[Tabela]]&amp;Table1[[#This Row],[Campo]]</f>
        <v>lt827_mthd_usd_instrmnttabela</v>
      </c>
      <c r="I1195" s="2" t="s">
        <v>613</v>
      </c>
      <c r="J1195" s="45">
        <f>VLOOKUP(Table1[[#This Row],[Status]],Auxiliar!$B$16:$C$24,2,0)</f>
        <v>1</v>
      </c>
      <c r="K1195" s="45" t="s">
        <v>1247</v>
      </c>
      <c r="L1195" s="46" t="s">
        <v>1252</v>
      </c>
      <c r="M1195" s="21" t="s">
        <v>1253</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1949</v>
      </c>
      <c r="G1196" s="39" t="s">
        <v>392</v>
      </c>
      <c r="H1196" s="59" t="str">
        <f>Table1[[#This Row],[Tabela]]&amp;Table1[[#This Row],[Campo]]</f>
        <v>lt827_mthd_usd_instrmnttabela</v>
      </c>
      <c r="I1196" s="2" t="s">
        <v>613</v>
      </c>
      <c r="J1196" s="45">
        <f>VLOOKUP(Table1[[#This Row],[Status]],Auxiliar!$B$16:$C$24,2,0)</f>
        <v>1</v>
      </c>
      <c r="K1196" s="45" t="s">
        <v>1249</v>
      </c>
      <c r="L1196" s="46" t="s">
        <v>1252</v>
      </c>
      <c r="M1196" s="21" t="s">
        <v>1253</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1949</v>
      </c>
      <c r="G1197" s="38" t="s">
        <v>320</v>
      </c>
      <c r="H1197" s="60" t="str">
        <f>Table1[[#This Row],[Tabela]]&amp;Table1[[#This Row],[Campo]]</f>
        <v>lt827_mthd_usd_instrmntorigem_scp1_emss</v>
      </c>
      <c r="I1197" s="2" t="s">
        <v>613</v>
      </c>
      <c r="J1197" s="45">
        <f>VLOOKUP(Table1[[#This Row],[Status]],Auxiliar!$B$16:$C$24,2,0)</f>
        <v>1</v>
      </c>
      <c r="K1197" s="45" t="s">
        <v>1246</v>
      </c>
      <c r="L1197" s="46" t="s">
        <v>1252</v>
      </c>
      <c r="M1197" s="21" t="s">
        <v>1253</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1949</v>
      </c>
      <c r="G1198" s="39" t="s">
        <v>320</v>
      </c>
      <c r="H1198" s="59" t="str">
        <f>Table1[[#This Row],[Tabela]]&amp;Table1[[#This Row],[Campo]]</f>
        <v>lt827_mthd_usd_instrmntorigem_scp1_emss</v>
      </c>
      <c r="I1198" s="2" t="s">
        <v>613</v>
      </c>
      <c r="J1198" s="45">
        <f>VLOOKUP(Table1[[#This Row],[Status]],Auxiliar!$B$16:$C$24,2,0)</f>
        <v>1</v>
      </c>
      <c r="K1198" s="45" t="s">
        <v>1247</v>
      </c>
      <c r="L1198" s="46" t="s">
        <v>1252</v>
      </c>
      <c r="M1198" s="21" t="s">
        <v>1253</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1949</v>
      </c>
      <c r="G1199" s="39" t="s">
        <v>320</v>
      </c>
      <c r="H1199" s="59" t="str">
        <f>Table1[[#This Row],[Tabela]]&amp;Table1[[#This Row],[Campo]]</f>
        <v>lt827_mthd_usd_instrmntorigem_scp1_emss</v>
      </c>
      <c r="I1199" s="2" t="s">
        <v>613</v>
      </c>
      <c r="J1199" s="45">
        <f>VLOOKUP(Table1[[#This Row],[Status]],Auxiliar!$B$16:$C$24,2,0)</f>
        <v>1</v>
      </c>
      <c r="K1199" s="45" t="s">
        <v>1249</v>
      </c>
      <c r="L1199" s="46" t="s">
        <v>1252</v>
      </c>
      <c r="M1199" s="21" t="s">
        <v>1253</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1949</v>
      </c>
      <c r="G1200" s="38" t="s">
        <v>321</v>
      </c>
      <c r="H1200" s="60" t="str">
        <f>Table1[[#This Row],[Tabela]]&amp;Table1[[#This Row],[Campo]]</f>
        <v>lt827_mthd_usd_instrmntorigem_scp2_emss</v>
      </c>
      <c r="I1200" s="2" t="s">
        <v>613</v>
      </c>
      <c r="J1200" s="45">
        <f>VLOOKUP(Table1[[#This Row],[Status]],Auxiliar!$B$16:$C$24,2,0)</f>
        <v>1</v>
      </c>
      <c r="K1200" s="45" t="s">
        <v>1246</v>
      </c>
      <c r="L1200" s="46" t="s">
        <v>1252</v>
      </c>
      <c r="M1200" s="21" t="s">
        <v>1253</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1949</v>
      </c>
      <c r="G1201" s="39" t="s">
        <v>321</v>
      </c>
      <c r="H1201" s="59" t="str">
        <f>Table1[[#This Row],[Tabela]]&amp;Table1[[#This Row],[Campo]]</f>
        <v>lt827_mthd_usd_instrmntorigem_scp2_emss</v>
      </c>
      <c r="I1201" s="2" t="s">
        <v>613</v>
      </c>
      <c r="J1201" s="45">
        <f>VLOOKUP(Table1[[#This Row],[Status]],Auxiliar!$B$16:$C$24,2,0)</f>
        <v>1</v>
      </c>
      <c r="K1201" s="45" t="s">
        <v>1247</v>
      </c>
      <c r="L1201" s="46" t="s">
        <v>1252</v>
      </c>
      <c r="M1201" s="21" t="s">
        <v>1253</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1949</v>
      </c>
      <c r="G1202" s="39" t="s">
        <v>321</v>
      </c>
      <c r="H1202" s="59" t="str">
        <f>Table1[[#This Row],[Tabela]]&amp;Table1[[#This Row],[Campo]]</f>
        <v>lt827_mthd_usd_instrmntorigem_scp2_emss</v>
      </c>
      <c r="I1202" s="2" t="s">
        <v>613</v>
      </c>
      <c r="J1202" s="45">
        <f>VLOOKUP(Table1[[#This Row],[Status]],Auxiliar!$B$16:$C$24,2,0)</f>
        <v>1</v>
      </c>
      <c r="K1202" s="45" t="s">
        <v>1249</v>
      </c>
      <c r="L1202" s="46" t="s">
        <v>1252</v>
      </c>
      <c r="M1202" s="21" t="s">
        <v>1253</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1949</v>
      </c>
      <c r="G1203" s="38" t="s">
        <v>322</v>
      </c>
      <c r="H1203" s="60" t="str">
        <f>Table1[[#This Row],[Tabela]]&amp;Table1[[#This Row],[Campo]]</f>
        <v>lt827_mthd_usd_instrmntorigem_scp3_emss</v>
      </c>
      <c r="I1203" s="2" t="s">
        <v>613</v>
      </c>
      <c r="J1203" s="45">
        <f>VLOOKUP(Table1[[#This Row],[Status]],Auxiliar!$B$16:$C$24,2,0)</f>
        <v>1</v>
      </c>
      <c r="K1203" s="45" t="s">
        <v>1246</v>
      </c>
      <c r="L1203" s="46" t="s">
        <v>1252</v>
      </c>
      <c r="M1203" s="21" t="s">
        <v>1253</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1949</v>
      </c>
      <c r="G1204" s="39" t="s">
        <v>322</v>
      </c>
      <c r="H1204" s="59" t="str">
        <f>Table1[[#This Row],[Tabela]]&amp;Table1[[#This Row],[Campo]]</f>
        <v>lt827_mthd_usd_instrmntorigem_scp3_emss</v>
      </c>
      <c r="I1204" s="2" t="s">
        <v>613</v>
      </c>
      <c r="J1204" s="45">
        <f>VLOOKUP(Table1[[#This Row],[Status]],Auxiliar!$B$16:$C$24,2,0)</f>
        <v>1</v>
      </c>
      <c r="K1204" s="45" t="s">
        <v>1247</v>
      </c>
      <c r="L1204" s="46" t="s">
        <v>1252</v>
      </c>
      <c r="M1204" s="21" t="s">
        <v>1253</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1949</v>
      </c>
      <c r="G1205" s="39" t="s">
        <v>322</v>
      </c>
      <c r="H1205" s="59" t="str">
        <f>Table1[[#This Row],[Tabela]]&amp;Table1[[#This Row],[Campo]]</f>
        <v>lt827_mthd_usd_instrmntorigem_scp3_emss</v>
      </c>
      <c r="I1205" s="2" t="s">
        <v>613</v>
      </c>
      <c r="J1205" s="45">
        <f>VLOOKUP(Table1[[#This Row],[Status]],Auxiliar!$B$16:$C$24,2,0)</f>
        <v>1</v>
      </c>
      <c r="K1205" s="45" t="s">
        <v>1249</v>
      </c>
      <c r="L1205" s="46" t="s">
        <v>1252</v>
      </c>
      <c r="M1205" s="21" t="s">
        <v>1253</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1949</v>
      </c>
      <c r="G1206" s="38" t="s">
        <v>386</v>
      </c>
      <c r="H1206" s="60" t="str">
        <f>Table1[[#This Row],[Tabela]]&amp;Table1[[#This Row],[Campo]]</f>
        <v>lt827_mthd_usd_instrmntmthd_usd_instrmnt_scp_1</v>
      </c>
      <c r="I1206" s="2" t="s">
        <v>613</v>
      </c>
      <c r="J1206" s="45">
        <f>VLOOKUP(Table1[[#This Row],[Status]],Auxiliar!$B$16:$C$24,2,0)</f>
        <v>1</v>
      </c>
      <c r="K1206" s="45" t="s">
        <v>1246</v>
      </c>
      <c r="L1206" s="46" t="s">
        <v>1252</v>
      </c>
      <c r="M1206" s="21" t="s">
        <v>1253</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1949</v>
      </c>
      <c r="G1207" s="39" t="s">
        <v>386</v>
      </c>
      <c r="H1207" s="59" t="str">
        <f>Table1[[#This Row],[Tabela]]&amp;Table1[[#This Row],[Campo]]</f>
        <v>lt827_mthd_usd_instrmntmthd_usd_instrmnt_scp_1</v>
      </c>
      <c r="I1207" s="2" t="s">
        <v>613</v>
      </c>
      <c r="J1207" s="45">
        <f>VLOOKUP(Table1[[#This Row],[Status]],Auxiliar!$B$16:$C$24,2,0)</f>
        <v>1</v>
      </c>
      <c r="K1207" s="45" t="s">
        <v>1247</v>
      </c>
      <c r="L1207" s="46" t="s">
        <v>1252</v>
      </c>
      <c r="M1207" s="21" t="s">
        <v>1253</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1949</v>
      </c>
      <c r="G1208" s="39" t="s">
        <v>386</v>
      </c>
      <c r="H1208" s="59" t="str">
        <f>Table1[[#This Row],[Tabela]]&amp;Table1[[#This Row],[Campo]]</f>
        <v>lt827_mthd_usd_instrmntmthd_usd_instrmnt_scp_1</v>
      </c>
      <c r="I1208" s="2" t="s">
        <v>613</v>
      </c>
      <c r="J1208" s="45">
        <f>VLOOKUP(Table1[[#This Row],[Status]],Auxiliar!$B$16:$C$24,2,0)</f>
        <v>1</v>
      </c>
      <c r="K1208" s="45" t="s">
        <v>1249</v>
      </c>
      <c r="L1208" s="46" t="s">
        <v>1252</v>
      </c>
      <c r="M1208" s="21" t="s">
        <v>1253</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1949</v>
      </c>
      <c r="G1209" s="38" t="s">
        <v>387</v>
      </c>
      <c r="H1209" s="60" t="str">
        <f>Table1[[#This Row],[Tabela]]&amp;Table1[[#This Row],[Campo]]</f>
        <v>lt827_mthd_usd_instrmntmthd_usd_instrmnt_scp_2</v>
      </c>
      <c r="I1209" s="2" t="s">
        <v>613</v>
      </c>
      <c r="J1209" s="45">
        <f>VLOOKUP(Table1[[#This Row],[Status]],Auxiliar!$B$16:$C$24,2,0)</f>
        <v>1</v>
      </c>
      <c r="K1209" s="45" t="s">
        <v>1246</v>
      </c>
      <c r="L1209" s="46" t="s">
        <v>1252</v>
      </c>
      <c r="M1209" s="21" t="s">
        <v>1253</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1949</v>
      </c>
      <c r="G1210" s="39" t="s">
        <v>387</v>
      </c>
      <c r="H1210" s="59" t="str">
        <f>Table1[[#This Row],[Tabela]]&amp;Table1[[#This Row],[Campo]]</f>
        <v>lt827_mthd_usd_instrmntmthd_usd_instrmnt_scp_2</v>
      </c>
      <c r="I1210" s="2" t="s">
        <v>613</v>
      </c>
      <c r="J1210" s="45">
        <f>VLOOKUP(Table1[[#This Row],[Status]],Auxiliar!$B$16:$C$24,2,0)</f>
        <v>1</v>
      </c>
      <c r="K1210" s="45" t="s">
        <v>1247</v>
      </c>
      <c r="L1210" s="46" t="s">
        <v>1252</v>
      </c>
      <c r="M1210" s="21" t="s">
        <v>1253</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1949</v>
      </c>
      <c r="G1211" s="39" t="s">
        <v>387</v>
      </c>
      <c r="H1211" s="59" t="str">
        <f>Table1[[#This Row],[Tabela]]&amp;Table1[[#This Row],[Campo]]</f>
        <v>lt827_mthd_usd_instrmntmthd_usd_instrmnt_scp_2</v>
      </c>
      <c r="I1211" s="2" t="s">
        <v>613</v>
      </c>
      <c r="J1211" s="45">
        <f>VLOOKUP(Table1[[#This Row],[Status]],Auxiliar!$B$16:$C$24,2,0)</f>
        <v>1</v>
      </c>
      <c r="K1211" s="45" t="s">
        <v>1249</v>
      </c>
      <c r="L1211" s="46" t="s">
        <v>1252</v>
      </c>
      <c r="M1211" s="21" t="s">
        <v>1253</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1949</v>
      </c>
      <c r="G1212" s="38" t="s">
        <v>388</v>
      </c>
      <c r="H1212" s="60" t="str">
        <f>Table1[[#This Row],[Tabela]]&amp;Table1[[#This Row],[Campo]]</f>
        <v>lt827_mthd_usd_instrmntmthd_usd_instrmnt_scp_3</v>
      </c>
      <c r="I1212" s="2" t="s">
        <v>613</v>
      </c>
      <c r="J1212" s="45">
        <f>VLOOKUP(Table1[[#This Row],[Status]],Auxiliar!$B$16:$C$24,2,0)</f>
        <v>1</v>
      </c>
      <c r="K1212" s="45" t="s">
        <v>1246</v>
      </c>
      <c r="L1212" s="46" t="s">
        <v>1252</v>
      </c>
      <c r="M1212" s="21" t="s">
        <v>1253</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1949</v>
      </c>
      <c r="G1213" s="39" t="s">
        <v>388</v>
      </c>
      <c r="H1213" s="59" t="str">
        <f>Table1[[#This Row],[Tabela]]&amp;Table1[[#This Row],[Campo]]</f>
        <v>lt827_mthd_usd_instrmntmthd_usd_instrmnt_scp_3</v>
      </c>
      <c r="I1213" s="2" t="s">
        <v>613</v>
      </c>
      <c r="J1213" s="45">
        <f>VLOOKUP(Table1[[#This Row],[Status]],Auxiliar!$B$16:$C$24,2,0)</f>
        <v>1</v>
      </c>
      <c r="K1213" s="45" t="s">
        <v>1247</v>
      </c>
      <c r="L1213" s="46" t="s">
        <v>1252</v>
      </c>
      <c r="M1213" s="21" t="s">
        <v>1253</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1949</v>
      </c>
      <c r="G1214" s="39" t="s">
        <v>388</v>
      </c>
      <c r="H1214" s="59" t="str">
        <f>Table1[[#This Row],[Tabela]]&amp;Table1[[#This Row],[Campo]]</f>
        <v>lt827_mthd_usd_instrmntmthd_usd_instrmnt_scp_3</v>
      </c>
      <c r="I1214" s="2" t="s">
        <v>613</v>
      </c>
      <c r="J1214" s="45">
        <f>VLOOKUP(Table1[[#This Row],[Status]],Auxiliar!$B$16:$C$24,2,0)</f>
        <v>1</v>
      </c>
      <c r="K1214" s="45" t="s">
        <v>1249</v>
      </c>
      <c r="L1214" s="46" t="s">
        <v>1252</v>
      </c>
      <c r="M1214" s="21" t="s">
        <v>1253</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1949</v>
      </c>
      <c r="G1215" s="39" t="s">
        <v>1933</v>
      </c>
      <c r="H1215" s="59" t="str">
        <f>Table1[[#This Row],[Tabela]]&amp;Table1[[#This Row],[Campo]]</f>
        <v>lt827_mthd_usd_instrmntpurpose_code</v>
      </c>
      <c r="I1215" s="2" t="s">
        <v>613</v>
      </c>
      <c r="J1215" s="45">
        <f>VLOOKUP(Table1[[#This Row],[Status]],Auxiliar!$B$16:$C$24,2,0)</f>
        <v>1</v>
      </c>
      <c r="K1215" s="45" t="s">
        <v>1246</v>
      </c>
      <c r="L1215" s="46" t="s">
        <v>1252</v>
      </c>
      <c r="M1215" s="21" t="s">
        <v>1253</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1949</v>
      </c>
      <c r="G1216" s="39" t="s">
        <v>1933</v>
      </c>
      <c r="H1216" s="59" t="str">
        <f>Table1[[#This Row],[Tabela]]&amp;Table1[[#This Row],[Campo]]</f>
        <v>lt827_mthd_usd_instrmntpurpose_code</v>
      </c>
      <c r="I1216" s="2" t="s">
        <v>613</v>
      </c>
      <c r="J1216" s="45">
        <f>VLOOKUP(Table1[[#This Row],[Status]],Auxiliar!$B$16:$C$24,2,0)</f>
        <v>1</v>
      </c>
      <c r="K1216" s="45" t="s">
        <v>1247</v>
      </c>
      <c r="L1216" s="46" t="s">
        <v>1252</v>
      </c>
      <c r="M1216" s="21" t="s">
        <v>1253</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1949</v>
      </c>
      <c r="G1217" s="39" t="s">
        <v>1933</v>
      </c>
      <c r="H1217" s="59" t="str">
        <f>Table1[[#This Row],[Tabela]]&amp;Table1[[#This Row],[Campo]]</f>
        <v>lt827_mthd_usd_instrmntpurpose_code</v>
      </c>
      <c r="I1217" s="2" t="s">
        <v>613</v>
      </c>
      <c r="J1217" s="45">
        <f>VLOOKUP(Table1[[#This Row],[Status]],Auxiliar!$B$16:$C$24,2,0)</f>
        <v>1</v>
      </c>
      <c r="K1217" s="45" t="s">
        <v>1249</v>
      </c>
      <c r="L1217" s="46" t="s">
        <v>1252</v>
      </c>
      <c r="M1217" s="21" t="s">
        <v>1253</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1949</v>
      </c>
      <c r="G1218" s="39" t="s">
        <v>481</v>
      </c>
      <c r="H1218" s="59" t="str">
        <f>Table1[[#This Row],[Tabela]]&amp;Table1[[#This Row],[Campo]]</f>
        <v>lt827_mthd_usd_instrmntflg_fin</v>
      </c>
      <c r="I1218" s="2" t="s">
        <v>613</v>
      </c>
      <c r="J1218" s="45">
        <f>VLOOKUP(Table1[[#This Row],[Status]],Auxiliar!$B$16:$C$24,2,0)</f>
        <v>1</v>
      </c>
      <c r="K1218" s="45" t="s">
        <v>1246</v>
      </c>
      <c r="L1218" s="46" t="s">
        <v>1252</v>
      </c>
      <c r="M1218" s="21" t="s">
        <v>1253</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1949</v>
      </c>
      <c r="G1219" s="39" t="s">
        <v>481</v>
      </c>
      <c r="H1219" s="59" t="str">
        <f>Table1[[#This Row],[Tabela]]&amp;Table1[[#This Row],[Campo]]</f>
        <v>lt827_mthd_usd_instrmntflg_fin</v>
      </c>
      <c r="I1219" s="2" t="s">
        <v>613</v>
      </c>
      <c r="J1219" s="45">
        <f>VLOOKUP(Table1[[#This Row],[Status]],Auxiliar!$B$16:$C$24,2,0)</f>
        <v>1</v>
      </c>
      <c r="K1219" s="45" t="s">
        <v>1247</v>
      </c>
      <c r="L1219" s="46" t="s">
        <v>1252</v>
      </c>
      <c r="M1219" s="21" t="s">
        <v>1253</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1949</v>
      </c>
      <c r="G1220" s="39" t="s">
        <v>481</v>
      </c>
      <c r="H1220" s="59" t="str">
        <f>Table1[[#This Row],[Tabela]]&amp;Table1[[#This Row],[Campo]]</f>
        <v>lt827_mthd_usd_instrmntflg_fin</v>
      </c>
      <c r="I1220" s="2" t="s">
        <v>613</v>
      </c>
      <c r="J1220" s="45">
        <f>VLOOKUP(Table1[[#This Row],[Status]],Auxiliar!$B$16:$C$24,2,0)</f>
        <v>1</v>
      </c>
      <c r="K1220" s="45" t="s">
        <v>1249</v>
      </c>
      <c r="L1220" s="46" t="s">
        <v>1252</v>
      </c>
      <c r="M1220" s="21" t="s">
        <v>1253</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1949</v>
      </c>
      <c r="G1221" s="39" t="s">
        <v>1355</v>
      </c>
      <c r="H1221" s="59" t="str">
        <f>Table1[[#This Row],[Tabela]]&amp;Table1[[#This Row],[Campo]]</f>
        <v>lt827_mthd_usd_instrmntflg_exec</v>
      </c>
      <c r="I1221" s="2" t="s">
        <v>613</v>
      </c>
      <c r="J1221" s="45">
        <f>VLOOKUP(Table1[[#This Row],[Status]],Auxiliar!$B$16:$C$24,2,0)</f>
        <v>1</v>
      </c>
      <c r="K1221" s="45" t="s">
        <v>1246</v>
      </c>
      <c r="L1221" s="46" t="s">
        <v>1252</v>
      </c>
      <c r="M1221" s="21" t="s">
        <v>1253</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1949</v>
      </c>
      <c r="G1222" s="39" t="s">
        <v>1355</v>
      </c>
      <c r="H1222" s="59" t="str">
        <f>Table1[[#This Row],[Tabela]]&amp;Table1[[#This Row],[Campo]]</f>
        <v>lt827_mthd_usd_instrmntflg_exec</v>
      </c>
      <c r="I1222" s="2" t="s">
        <v>613</v>
      </c>
      <c r="J1222" s="45">
        <f>VLOOKUP(Table1[[#This Row],[Status]],Auxiliar!$B$16:$C$24,2,0)</f>
        <v>1</v>
      </c>
      <c r="K1222" s="45" t="s">
        <v>1247</v>
      </c>
      <c r="L1222" s="46" t="s">
        <v>1252</v>
      </c>
      <c r="M1222" s="21" t="s">
        <v>1253</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1949</v>
      </c>
      <c r="G1223" s="39" t="s">
        <v>1355</v>
      </c>
      <c r="H1223" s="59" t="str">
        <f>Table1[[#This Row],[Tabela]]&amp;Table1[[#This Row],[Campo]]</f>
        <v>lt827_mthd_usd_instrmntflg_exec</v>
      </c>
      <c r="I1223" s="2" t="s">
        <v>613</v>
      </c>
      <c r="J1223" s="45">
        <f>VLOOKUP(Table1[[#This Row],[Status]],Auxiliar!$B$16:$C$24,2,0)</f>
        <v>1</v>
      </c>
      <c r="K1223" s="45" t="s">
        <v>1249</v>
      </c>
      <c r="L1223" s="46" t="s">
        <v>1252</v>
      </c>
      <c r="M1223" s="21" t="s">
        <v>1253</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1949</v>
      </c>
      <c r="G1224" s="39" t="s">
        <v>480</v>
      </c>
      <c r="H1224" s="59" t="str">
        <f>Table1[[#This Row],[Tabela]]&amp;Table1[[#This Row],[Campo]]</f>
        <v>lt827_mthd_usd_instrmntflg_col</v>
      </c>
      <c r="I1224" s="2" t="s">
        <v>613</v>
      </c>
      <c r="J1224" s="45">
        <f>VLOOKUP(Table1[[#This Row],[Status]],Auxiliar!$B$16:$C$24,2,0)</f>
        <v>1</v>
      </c>
      <c r="K1224" s="45" t="s">
        <v>1246</v>
      </c>
      <c r="L1224" s="46" t="s">
        <v>1252</v>
      </c>
      <c r="M1224" s="21" t="s">
        <v>1253</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1949</v>
      </c>
      <c r="G1225" s="39" t="s">
        <v>480</v>
      </c>
      <c r="H1225" s="59" t="str">
        <f>Table1[[#This Row],[Tabela]]&amp;Table1[[#This Row],[Campo]]</f>
        <v>lt827_mthd_usd_instrmntflg_col</v>
      </c>
      <c r="I1225" s="2" t="s">
        <v>613</v>
      </c>
      <c r="J1225" s="45">
        <f>VLOOKUP(Table1[[#This Row],[Status]],Auxiliar!$B$16:$C$24,2,0)</f>
        <v>1</v>
      </c>
      <c r="K1225" s="45" t="s">
        <v>1247</v>
      </c>
      <c r="L1225" s="46" t="s">
        <v>1252</v>
      </c>
      <c r="M1225" s="21" t="s">
        <v>1253</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1949</v>
      </c>
      <c r="G1226" s="39" t="s">
        <v>480</v>
      </c>
      <c r="H1226" s="59" t="str">
        <f>Table1[[#This Row],[Tabela]]&amp;Table1[[#This Row],[Campo]]</f>
        <v>lt827_mthd_usd_instrmntflg_col</v>
      </c>
      <c r="I1226" s="2" t="s">
        <v>613</v>
      </c>
      <c r="J1226" s="45">
        <f>VLOOKUP(Table1[[#This Row],[Status]],Auxiliar!$B$16:$C$24,2,0)</f>
        <v>1</v>
      </c>
      <c r="K1226" s="45" t="s">
        <v>1249</v>
      </c>
      <c r="L1226" s="46" t="s">
        <v>1252</v>
      </c>
      <c r="M1226" s="21" t="s">
        <v>1253</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1949</v>
      </c>
      <c r="G1227" s="39" t="s">
        <v>482</v>
      </c>
      <c r="H1227" s="59" t="str">
        <f>Table1[[#This Row],[Tabela]]&amp;Table1[[#This Row],[Campo]]</f>
        <v>lt827_mthd_usd_instrmntflg_pro</v>
      </c>
      <c r="I1227" s="2" t="s">
        <v>613</v>
      </c>
      <c r="J1227" s="45">
        <f>VLOOKUP(Table1[[#This Row],[Status]],Auxiliar!$B$16:$C$24,2,0)</f>
        <v>1</v>
      </c>
      <c r="K1227" s="45" t="s">
        <v>1246</v>
      </c>
      <c r="L1227" s="46" t="s">
        <v>1252</v>
      </c>
      <c r="M1227" s="21" t="s">
        <v>1253</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1949</v>
      </c>
      <c r="G1228" s="39" t="s">
        <v>482</v>
      </c>
      <c r="H1228" s="59" t="str">
        <f>Table1[[#This Row],[Tabela]]&amp;Table1[[#This Row],[Campo]]</f>
        <v>lt827_mthd_usd_instrmntflg_pro</v>
      </c>
      <c r="I1228" s="2" t="s">
        <v>613</v>
      </c>
      <c r="J1228" s="45">
        <f>VLOOKUP(Table1[[#This Row],[Status]],Auxiliar!$B$16:$C$24,2,0)</f>
        <v>1</v>
      </c>
      <c r="K1228" s="45" t="s">
        <v>1247</v>
      </c>
      <c r="L1228" s="46" t="s">
        <v>1252</v>
      </c>
      <c r="M1228" s="21" t="s">
        <v>1253</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1949</v>
      </c>
      <c r="G1229" s="39" t="s">
        <v>482</v>
      </c>
      <c r="H1229" s="59" t="str">
        <f>Table1[[#This Row],[Tabela]]&amp;Table1[[#This Row],[Campo]]</f>
        <v>lt827_mthd_usd_instrmntflg_pro</v>
      </c>
      <c r="I1229" s="2" t="s">
        <v>613</v>
      </c>
      <c r="J1229" s="45">
        <f>VLOOKUP(Table1[[#This Row],[Status]],Auxiliar!$B$16:$C$24,2,0)</f>
        <v>1</v>
      </c>
      <c r="K1229" s="45" t="s">
        <v>1249</v>
      </c>
      <c r="L1229" s="46" t="s">
        <v>1252</v>
      </c>
      <c r="M1229" s="21" t="s">
        <v>1253</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1246</v>
      </c>
      <c r="L1230" s="46" t="s">
        <v>1252</v>
      </c>
      <c r="M1230" s="21" t="s">
        <v>1253</v>
      </c>
      <c r="N1230" s="48">
        <v>45581</v>
      </c>
      <c r="O1230" s="21">
        <f>INDEX(Auxiliar!$D$5:$F$13,MATCH(Table1[[#This Row],[Tipologia_Testes]],Auxiliar!$B$5:$B$13,0),MATCH(Table1[[#This Row],[Complexidade]],Auxiliar!$D$4:$F$4,0))</f>
        <v>2</v>
      </c>
      <c r="P1230" s="43" t="s">
        <v>1335</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1247</v>
      </c>
      <c r="L1231" s="46" t="s">
        <v>1252</v>
      </c>
      <c r="M1231" s="21" t="s">
        <v>1253</v>
      </c>
      <c r="N1231" s="48">
        <v>45581</v>
      </c>
      <c r="O1231" s="21">
        <f>INDEX(Auxiliar!$D$5:$F$13,MATCH(Table1[[#This Row],[Tipologia_Testes]],Auxiliar!$B$5:$B$13,0),MATCH(Table1[[#This Row],[Complexidade]],Auxiliar!$D$4:$F$4,0))</f>
        <v>2</v>
      </c>
      <c r="P1231" s="43" t="s">
        <v>1335</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1249</v>
      </c>
      <c r="L1232" s="46" t="s">
        <v>1252</v>
      </c>
      <c r="M1232" s="21" t="s">
        <v>1253</v>
      </c>
      <c r="N1232" s="48">
        <v>45581</v>
      </c>
      <c r="O1232" s="21">
        <f>INDEX(Auxiliar!$D$5:$F$13,MATCH(Table1[[#This Row],[Tipologia_Testes]],Auxiliar!$B$5:$B$13,0),MATCH(Table1[[#This Row],[Complexidade]],Auxiliar!$D$4:$F$4,0))</f>
        <v>0.1</v>
      </c>
      <c r="P1232" s="43" t="s">
        <v>1335</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1246</v>
      </c>
      <c r="L1233" s="46" t="s">
        <v>1252</v>
      </c>
      <c r="M1233" s="21" t="s">
        <v>1253</v>
      </c>
      <c r="N1233" s="48">
        <v>45581</v>
      </c>
      <c r="O1233" s="21">
        <f>INDEX(Auxiliar!$D$5:$F$13,MATCH(Table1[[#This Row],[Tipologia_Testes]],Auxiliar!$B$5:$B$13,0),MATCH(Table1[[#This Row],[Complexidade]],Auxiliar!$D$4:$F$4,0))</f>
        <v>2</v>
      </c>
      <c r="P1233" s="43" t="s">
        <v>1335</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1247</v>
      </c>
      <c r="L1234" s="46" t="s">
        <v>1252</v>
      </c>
      <c r="M1234" s="21" t="s">
        <v>1253</v>
      </c>
      <c r="N1234" s="48">
        <v>45581</v>
      </c>
      <c r="O1234" s="21">
        <f>INDEX(Auxiliar!$D$5:$F$13,MATCH(Table1[[#This Row],[Tipologia_Testes]],Auxiliar!$B$5:$B$13,0),MATCH(Table1[[#This Row],[Complexidade]],Auxiliar!$D$4:$F$4,0))</f>
        <v>2</v>
      </c>
      <c r="P1234" s="43" t="s">
        <v>1335</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1249</v>
      </c>
      <c r="L1235" s="46" t="s">
        <v>1252</v>
      </c>
      <c r="M1235" s="21" t="s">
        <v>1253</v>
      </c>
      <c r="N1235" s="48">
        <v>45581</v>
      </c>
      <c r="O1235" s="21">
        <f>INDEX(Auxiliar!$D$5:$F$13,MATCH(Table1[[#This Row],[Tipologia_Testes]],Auxiliar!$B$5:$B$13,0),MATCH(Table1[[#This Row],[Complexidade]],Auxiliar!$D$4:$F$4,0))</f>
        <v>0.1</v>
      </c>
      <c r="P1235" s="43" t="s">
        <v>1335</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1246</v>
      </c>
      <c r="L1236" s="46" t="s">
        <v>1252</v>
      </c>
      <c r="M1236" s="21" t="s">
        <v>1253</v>
      </c>
      <c r="N1236" s="48">
        <v>45581</v>
      </c>
      <c r="O1236" s="21">
        <f>INDEX(Auxiliar!$D$5:$F$13,MATCH(Table1[[#This Row],[Tipologia_Testes]],Auxiliar!$B$5:$B$13,0),MATCH(Table1[[#This Row],[Complexidade]],Auxiliar!$D$4:$F$4,0))</f>
        <v>2</v>
      </c>
      <c r="P1236" s="43" t="s">
        <v>1335</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1247</v>
      </c>
      <c r="L1237" s="46" t="s">
        <v>1252</v>
      </c>
      <c r="M1237" s="21" t="s">
        <v>1253</v>
      </c>
      <c r="N1237" s="48">
        <v>45581</v>
      </c>
      <c r="O1237" s="21">
        <f>INDEX(Auxiliar!$D$5:$F$13,MATCH(Table1[[#This Row],[Tipologia_Testes]],Auxiliar!$B$5:$B$13,0),MATCH(Table1[[#This Row],[Complexidade]],Auxiliar!$D$4:$F$4,0))</f>
        <v>2</v>
      </c>
      <c r="P1237" s="43" t="s">
        <v>1335</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1249</v>
      </c>
      <c r="L1238" s="46" t="s">
        <v>1252</v>
      </c>
      <c r="M1238" s="21" t="s">
        <v>1253</v>
      </c>
      <c r="N1238" s="48">
        <v>45581</v>
      </c>
      <c r="O1238" s="21">
        <f>INDEX(Auxiliar!$D$5:$F$13,MATCH(Table1[[#This Row],[Tipologia_Testes]],Auxiliar!$B$5:$B$13,0),MATCH(Table1[[#This Row],[Complexidade]],Auxiliar!$D$4:$F$4,0))</f>
        <v>0.1</v>
      </c>
      <c r="P1238" s="43" t="s">
        <v>1335</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1246</v>
      </c>
      <c r="L1239" s="46" t="s">
        <v>1252</v>
      </c>
      <c r="M1239" s="21" t="s">
        <v>1253</v>
      </c>
      <c r="N1239" s="48">
        <v>45581</v>
      </c>
      <c r="O1239" s="21">
        <f>INDEX(Auxiliar!$D$5:$F$13,MATCH(Table1[[#This Row],[Tipologia_Testes]],Auxiliar!$B$5:$B$13,0),MATCH(Table1[[#This Row],[Complexidade]],Auxiliar!$D$4:$F$4,0))</f>
        <v>2</v>
      </c>
      <c r="P1239" s="43" t="s">
        <v>1335</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1247</v>
      </c>
      <c r="L1240" s="46" t="s">
        <v>1252</v>
      </c>
      <c r="M1240" s="21" t="s">
        <v>1253</v>
      </c>
      <c r="N1240" s="48">
        <v>45581</v>
      </c>
      <c r="O1240" s="21">
        <f>INDEX(Auxiliar!$D$5:$F$13,MATCH(Table1[[#This Row],[Tipologia_Testes]],Auxiliar!$B$5:$B$13,0),MATCH(Table1[[#This Row],[Complexidade]],Auxiliar!$D$4:$F$4,0))</f>
        <v>2</v>
      </c>
      <c r="P1240" s="43" t="s">
        <v>1335</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1249</v>
      </c>
      <c r="L1241" s="46" t="s">
        <v>1252</v>
      </c>
      <c r="M1241" s="21" t="s">
        <v>1253</v>
      </c>
      <c r="N1241" s="48">
        <v>45581</v>
      </c>
      <c r="O1241" s="21">
        <f>INDEX(Auxiliar!$D$5:$F$13,MATCH(Table1[[#This Row],[Tipologia_Testes]],Auxiliar!$B$5:$B$13,0),MATCH(Table1[[#This Row],[Complexidade]],Auxiliar!$D$4:$F$4,0))</f>
        <v>0.1</v>
      </c>
      <c r="P1241" s="43" t="s">
        <v>1335</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1246</v>
      </c>
      <c r="L1242" s="46" t="s">
        <v>1252</v>
      </c>
      <c r="M1242" s="21" t="s">
        <v>1253</v>
      </c>
      <c r="N1242" s="48">
        <v>45581</v>
      </c>
      <c r="O1242" s="21">
        <f>INDEX(Auxiliar!$D$5:$F$13,MATCH(Table1[[#This Row],[Tipologia_Testes]],Auxiliar!$B$5:$B$13,0),MATCH(Table1[[#This Row],[Complexidade]],Auxiliar!$D$4:$F$4,0))</f>
        <v>2</v>
      </c>
      <c r="P1242" s="43" t="s">
        <v>1335</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1247</v>
      </c>
      <c r="L1243" s="46" t="s">
        <v>1252</v>
      </c>
      <c r="M1243" s="21" t="s">
        <v>1253</v>
      </c>
      <c r="N1243" s="48">
        <v>45581</v>
      </c>
      <c r="O1243" s="21">
        <f>INDEX(Auxiliar!$D$5:$F$13,MATCH(Table1[[#This Row],[Tipologia_Testes]],Auxiliar!$B$5:$B$13,0),MATCH(Table1[[#This Row],[Complexidade]],Auxiliar!$D$4:$F$4,0))</f>
        <v>2</v>
      </c>
      <c r="P1243" s="43" t="s">
        <v>1335</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1249</v>
      </c>
      <c r="L1244" s="46" t="s">
        <v>1252</v>
      </c>
      <c r="M1244" s="21" t="s">
        <v>1253</v>
      </c>
      <c r="N1244" s="48">
        <v>45581</v>
      </c>
      <c r="O1244" s="21">
        <f>INDEX(Auxiliar!$D$5:$F$13,MATCH(Table1[[#This Row],[Tipologia_Testes]],Auxiliar!$B$5:$B$13,0),MATCH(Table1[[#This Row],[Complexidade]],Auxiliar!$D$4:$F$4,0))</f>
        <v>0.1</v>
      </c>
      <c r="P1244" s="43" t="s">
        <v>1335</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1246</v>
      </c>
      <c r="L1245" s="46" t="s">
        <v>1252</v>
      </c>
      <c r="M1245" s="21" t="s">
        <v>1253</v>
      </c>
      <c r="N1245" s="48">
        <v>45581</v>
      </c>
      <c r="O1245" s="21">
        <f>INDEX(Auxiliar!$D$5:$F$13,MATCH(Table1[[#This Row],[Tipologia_Testes]],Auxiliar!$B$5:$B$13,0),MATCH(Table1[[#This Row],[Complexidade]],Auxiliar!$D$4:$F$4,0))</f>
        <v>2</v>
      </c>
      <c r="P1245" s="43" t="s">
        <v>1335</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1247</v>
      </c>
      <c r="L1246" s="46" t="s">
        <v>1252</v>
      </c>
      <c r="M1246" s="21" t="s">
        <v>1253</v>
      </c>
      <c r="N1246" s="48">
        <v>45581</v>
      </c>
      <c r="O1246" s="21">
        <f>INDEX(Auxiliar!$D$5:$F$13,MATCH(Table1[[#This Row],[Tipologia_Testes]],Auxiliar!$B$5:$B$13,0),MATCH(Table1[[#This Row],[Complexidade]],Auxiliar!$D$4:$F$4,0))</f>
        <v>2</v>
      </c>
      <c r="P1246" s="43" t="s">
        <v>1335</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1249</v>
      </c>
      <c r="L1247" s="46" t="s">
        <v>1252</v>
      </c>
      <c r="M1247" s="21" t="s">
        <v>1253</v>
      </c>
      <c r="N1247" s="48">
        <v>45581</v>
      </c>
      <c r="O1247" s="21">
        <f>INDEX(Auxiliar!$D$5:$F$13,MATCH(Table1[[#This Row],[Tipologia_Testes]],Auxiliar!$B$5:$B$13,0),MATCH(Table1[[#This Row],[Complexidade]],Auxiliar!$D$4:$F$4,0))</f>
        <v>0.1</v>
      </c>
      <c r="P1247" s="43" t="s">
        <v>1335</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1246</v>
      </c>
      <c r="L1248" s="46" t="s">
        <v>1252</v>
      </c>
      <c r="M1248" s="21" t="s">
        <v>1253</v>
      </c>
      <c r="N1248" s="48">
        <v>45581</v>
      </c>
      <c r="O1248" s="21">
        <f>INDEX(Auxiliar!$D$5:$F$13,MATCH(Table1[[#This Row],[Tipologia_Testes]],Auxiliar!$B$5:$B$13,0),MATCH(Table1[[#This Row],[Complexidade]],Auxiliar!$D$4:$F$4,0))</f>
        <v>2</v>
      </c>
      <c r="P1248" s="43" t="s">
        <v>1335</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1247</v>
      </c>
      <c r="L1249" s="46" t="s">
        <v>1252</v>
      </c>
      <c r="M1249" s="21" t="s">
        <v>1253</v>
      </c>
      <c r="N1249" s="48">
        <v>45581</v>
      </c>
      <c r="O1249" s="21">
        <f>INDEX(Auxiliar!$D$5:$F$13,MATCH(Table1[[#This Row],[Tipologia_Testes]],Auxiliar!$B$5:$B$13,0),MATCH(Table1[[#This Row],[Complexidade]],Auxiliar!$D$4:$F$4,0))</f>
        <v>2</v>
      </c>
      <c r="P1249" s="43" t="s">
        <v>1335</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1249</v>
      </c>
      <c r="L1250" s="46" t="s">
        <v>1252</v>
      </c>
      <c r="M1250" s="21" t="s">
        <v>1253</v>
      </c>
      <c r="N1250" s="48">
        <v>45581</v>
      </c>
      <c r="O1250" s="21">
        <f>INDEX(Auxiliar!$D$5:$F$13,MATCH(Table1[[#This Row],[Tipologia_Testes]],Auxiliar!$B$5:$B$13,0),MATCH(Table1[[#This Row],[Complexidade]],Auxiliar!$D$4:$F$4,0))</f>
        <v>0.1</v>
      </c>
      <c r="P1250" s="43" t="s">
        <v>1335</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1246</v>
      </c>
      <c r="L1251" s="46" t="s">
        <v>1252</v>
      </c>
      <c r="M1251" s="21" t="s">
        <v>1253</v>
      </c>
      <c r="N1251" s="48">
        <v>45581</v>
      </c>
      <c r="O1251" s="21">
        <f>INDEX(Auxiliar!$D$5:$F$13,MATCH(Table1[[#This Row],[Tipologia_Testes]],Auxiliar!$B$5:$B$13,0),MATCH(Table1[[#This Row],[Complexidade]],Auxiliar!$D$4:$F$4,0))</f>
        <v>2</v>
      </c>
      <c r="P1251" s="43" t="s">
        <v>1335</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1247</v>
      </c>
      <c r="L1252" s="46" t="s">
        <v>1252</v>
      </c>
      <c r="M1252" s="21" t="s">
        <v>1253</v>
      </c>
      <c r="N1252" s="48">
        <v>45581</v>
      </c>
      <c r="O1252" s="21">
        <f>INDEX(Auxiliar!$D$5:$F$13,MATCH(Table1[[#This Row],[Tipologia_Testes]],Auxiliar!$B$5:$B$13,0),MATCH(Table1[[#This Row],[Complexidade]],Auxiliar!$D$4:$F$4,0))</f>
        <v>2</v>
      </c>
      <c r="P1252" s="43" t="s">
        <v>1335</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1249</v>
      </c>
      <c r="L1253" s="46" t="s">
        <v>1252</v>
      </c>
      <c r="M1253" s="21" t="s">
        <v>1253</v>
      </c>
      <c r="N1253" s="48">
        <v>45581</v>
      </c>
      <c r="O1253" s="21">
        <f>INDEX(Auxiliar!$D$5:$F$13,MATCH(Table1[[#This Row],[Tipologia_Testes]],Auxiliar!$B$5:$B$13,0),MATCH(Table1[[#This Row],[Complexidade]],Auxiliar!$D$4:$F$4,0))</f>
        <v>0.1</v>
      </c>
      <c r="P1253" s="43" t="s">
        <v>1335</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1246</v>
      </c>
      <c r="L1254" s="46" t="s">
        <v>1252</v>
      </c>
      <c r="M1254" s="21" t="s">
        <v>1253</v>
      </c>
      <c r="N1254" s="48">
        <v>45581</v>
      </c>
      <c r="O1254" s="21">
        <f>INDEX(Auxiliar!$D$5:$F$13,MATCH(Table1[[#This Row],[Tipologia_Testes]],Auxiliar!$B$5:$B$13,0),MATCH(Table1[[#This Row],[Complexidade]],Auxiliar!$D$4:$F$4,0))</f>
        <v>2</v>
      </c>
      <c r="P1254" s="43" t="s">
        <v>1335</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1247</v>
      </c>
      <c r="L1255" s="46" t="s">
        <v>1252</v>
      </c>
      <c r="M1255" s="21" t="s">
        <v>1253</v>
      </c>
      <c r="N1255" s="48">
        <v>45581</v>
      </c>
      <c r="O1255" s="21">
        <f>INDEX(Auxiliar!$D$5:$F$13,MATCH(Table1[[#This Row],[Tipologia_Testes]],Auxiliar!$B$5:$B$13,0),MATCH(Table1[[#This Row],[Complexidade]],Auxiliar!$D$4:$F$4,0))</f>
        <v>2</v>
      </c>
      <c r="P1255" s="43" t="s">
        <v>1335</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1249</v>
      </c>
      <c r="L1256" s="46" t="s">
        <v>1252</v>
      </c>
      <c r="M1256" s="21" t="s">
        <v>1253</v>
      </c>
      <c r="N1256" s="48">
        <v>45581</v>
      </c>
      <c r="O1256" s="21">
        <f>INDEX(Auxiliar!$D$5:$F$13,MATCH(Table1[[#This Row],[Tipologia_Testes]],Auxiliar!$B$5:$B$13,0),MATCH(Table1[[#This Row],[Complexidade]],Auxiliar!$D$4:$F$4,0))</f>
        <v>0.1</v>
      </c>
      <c r="P1256" s="43" t="s">
        <v>1335</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1251</v>
      </c>
      <c r="L1257" s="46" t="s">
        <v>1252</v>
      </c>
      <c r="M1257" s="21" t="s">
        <v>1253</v>
      </c>
      <c r="N1257" s="48">
        <v>45506</v>
      </c>
      <c r="O1257" s="113">
        <v>0.1</v>
      </c>
      <c r="P1257" s="2"/>
      <c r="Q1257" s="152"/>
      <c r="R1257" s="152"/>
      <c r="S1257" s="152"/>
      <c r="T1257" s="152"/>
      <c r="U1257" s="152"/>
      <c r="V1257" s="152"/>
      <c r="W1257" s="2">
        <f>VLOOKUP(Table1[[#This Row],[Status]],Auxiliar!$B$16:$D$24,3,0)*Table1[[#This Row],[Estimação (horas)]]</f>
        <v>0.1</v>
      </c>
      <c r="X1257" s="205"/>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1251</v>
      </c>
      <c r="L1258" s="46" t="s">
        <v>1252</v>
      </c>
      <c r="M1258" s="21" t="s">
        <v>1253</v>
      </c>
      <c r="N1258" s="48">
        <v>45506</v>
      </c>
      <c r="O1258" s="113">
        <v>0.1</v>
      </c>
      <c r="P1258" s="2"/>
      <c r="Q1258" s="152"/>
      <c r="R1258" s="152"/>
      <c r="S1258" s="152"/>
      <c r="T1258" s="152"/>
      <c r="U1258" s="152"/>
      <c r="V1258" s="152"/>
      <c r="W1258" s="2">
        <f>VLOOKUP(Table1[[#This Row],[Status]],Auxiliar!$B$16:$D$24,3,0)*Table1[[#This Row],[Estimação (horas)]]</f>
        <v>0.1</v>
      </c>
      <c r="X1258" s="205"/>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1251</v>
      </c>
      <c r="L1259" s="46" t="s">
        <v>1252</v>
      </c>
      <c r="M1259" s="21" t="s">
        <v>1253</v>
      </c>
      <c r="N1259" s="48">
        <v>45506</v>
      </c>
      <c r="O1259" s="113">
        <v>0.1</v>
      </c>
      <c r="P1259" s="2"/>
      <c r="Q1259" s="152"/>
      <c r="R1259" s="152"/>
      <c r="S1259" s="152"/>
      <c r="T1259" s="152"/>
      <c r="U1259" s="152"/>
      <c r="V1259" s="152"/>
      <c r="W1259" s="2">
        <f>VLOOKUP(Table1[[#This Row],[Status]],Auxiliar!$B$16:$D$24,3,0)*Table1[[#This Row],[Estimação (horas)]]</f>
        <v>0.1</v>
      </c>
      <c r="X1259" s="205"/>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1251</v>
      </c>
      <c r="L1260" s="46" t="s">
        <v>1252</v>
      </c>
      <c r="M1260" s="21" t="s">
        <v>1253</v>
      </c>
      <c r="N1260" s="48">
        <v>45509</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1251</v>
      </c>
      <c r="L1261" s="46" t="s">
        <v>1252</v>
      </c>
      <c r="M1261" s="21" t="s">
        <v>1253</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1251</v>
      </c>
      <c r="L1262" s="46" t="s">
        <v>1252</v>
      </c>
      <c r="M1262" s="21" t="s">
        <v>1253</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1251</v>
      </c>
      <c r="L1263" s="46" t="s">
        <v>1252</v>
      </c>
      <c r="M1263" s="21" t="s">
        <v>1253</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1251</v>
      </c>
      <c r="L1264" s="46" t="s">
        <v>1252</v>
      </c>
      <c r="M1264" s="21" t="s">
        <v>1253</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1251</v>
      </c>
      <c r="L1265" s="46" t="s">
        <v>1252</v>
      </c>
      <c r="M1265" s="21" t="s">
        <v>1253</v>
      </c>
      <c r="N1265" s="48">
        <v>45506</v>
      </c>
      <c r="O1265" s="113">
        <v>0.1</v>
      </c>
      <c r="P1265" s="2"/>
      <c r="Q1265" s="152"/>
      <c r="R1265" s="152"/>
      <c r="S1265" s="152"/>
      <c r="T1265" s="152"/>
      <c r="U1265" s="152">
        <v>45631</v>
      </c>
      <c r="V1265" s="152">
        <v>45631</v>
      </c>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1251</v>
      </c>
      <c r="L1266" s="46" t="s">
        <v>1252</v>
      </c>
      <c r="M1266" s="21" t="s">
        <v>1253</v>
      </c>
      <c r="N1266" s="48">
        <v>45506</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1251</v>
      </c>
      <c r="L1267" s="46" t="s">
        <v>1252</v>
      </c>
      <c r="M1267" s="21" t="s">
        <v>1253</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1251</v>
      </c>
      <c r="L1268" s="46" t="s">
        <v>1252</v>
      </c>
      <c r="M1268" s="21" t="s">
        <v>1253</v>
      </c>
      <c r="N1268" s="48">
        <v>45506</v>
      </c>
      <c r="O1268" s="113">
        <v>0.1</v>
      </c>
      <c r="P1268" s="2"/>
      <c r="Q1268" s="152"/>
      <c r="R1268" s="152"/>
      <c r="S1268" s="152"/>
      <c r="T1268" s="152"/>
      <c r="U1268" s="152"/>
      <c r="V1268" s="152"/>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1251</v>
      </c>
      <c r="L1269" s="46" t="s">
        <v>1252</v>
      </c>
      <c r="M1269" s="21" t="s">
        <v>1253</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1251</v>
      </c>
      <c r="L1270" s="46" t="s">
        <v>1252</v>
      </c>
      <c r="M1270" s="21" t="s">
        <v>1253</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1251</v>
      </c>
      <c r="L1271" s="46" t="s">
        <v>1252</v>
      </c>
      <c r="M1271" s="21" t="s">
        <v>1253</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1251</v>
      </c>
      <c r="L1272" s="46" t="s">
        <v>1252</v>
      </c>
      <c r="M1272" s="21" t="s">
        <v>1253</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1251</v>
      </c>
      <c r="L1273" s="46" t="s">
        <v>1252</v>
      </c>
      <c r="M1273" s="21" t="s">
        <v>1253</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1251</v>
      </c>
      <c r="L1274" s="46" t="s">
        <v>1252</v>
      </c>
      <c r="M1274" s="21" t="s">
        <v>1253</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1251</v>
      </c>
      <c r="L1275" s="46" t="s">
        <v>1252</v>
      </c>
      <c r="M1275" s="21" t="s">
        <v>1253</v>
      </c>
      <c r="N1275" s="48">
        <v>45510</v>
      </c>
      <c r="O1275" s="113">
        <v>0.1</v>
      </c>
      <c r="P1275" s="3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31</v>
      </c>
      <c r="E1276" s="112" t="s">
        <v>38</v>
      </c>
      <c r="F1276" s="2" t="s">
        <v>1948</v>
      </c>
      <c r="G1276" s="13" t="s">
        <v>419</v>
      </c>
      <c r="H1276" s="59" t="str">
        <f>Table1[[#This Row],[Tabela]]&amp;Table1[[#This Row],[Campo]]</f>
        <v>lt007_instr_activitysstnbl_indctr</v>
      </c>
      <c r="I1276" s="2" t="s">
        <v>613</v>
      </c>
      <c r="J1276" s="45">
        <f>VLOOKUP(Table1[[#This Row],[Status]],Auxiliar!$B$16:$C$24,2,0)</f>
        <v>1</v>
      </c>
      <c r="K1276" s="21" t="s">
        <v>1251</v>
      </c>
      <c r="L1276" s="46" t="s">
        <v>1252</v>
      </c>
      <c r="M1276" s="21" t="s">
        <v>1253</v>
      </c>
      <c r="N1276" s="48">
        <v>45649</v>
      </c>
      <c r="O1276" s="113">
        <v>0.1</v>
      </c>
      <c r="P1276" s="43"/>
      <c r="Q1276" s="152"/>
      <c r="R1276" s="152"/>
      <c r="S1276" s="152"/>
      <c r="T1276" s="152"/>
      <c r="U1276" s="152">
        <v>45624</v>
      </c>
      <c r="V1276" s="152">
        <v>45624</v>
      </c>
      <c r="W1276" s="2">
        <f>VLOOKUP(Table1[[#This Row],[Status]],Auxiliar!$B$16:$D$24,3,0)*Table1[[#This Row],[Estimação (horas)]]</f>
        <v>0.1</v>
      </c>
      <c r="X1276" s="205"/>
    </row>
    <row r="1277" spans="2:24" ht="17.7" hidden="1" customHeight="1">
      <c r="B1277" s="39" t="s">
        <v>26</v>
      </c>
      <c r="C1277" s="39" t="s">
        <v>26</v>
      </c>
      <c r="D1277" s="13" t="s">
        <v>31</v>
      </c>
      <c r="E1277" s="112" t="s">
        <v>38</v>
      </c>
      <c r="F1277" s="2" t="s">
        <v>1948</v>
      </c>
      <c r="G1277" s="13" t="s">
        <v>420</v>
      </c>
      <c r="H1277" s="59" t="str">
        <f>Table1[[#This Row],[Tabela]]&amp;Table1[[#This Row],[Campo]]</f>
        <v>lt007_instr_activitysstnbl_ctgry</v>
      </c>
      <c r="I1277" s="2" t="s">
        <v>615</v>
      </c>
      <c r="J1277" s="45">
        <f>VLOOKUP(Table1[[#This Row],[Status]],Auxiliar!$B$16:$C$24,2,0)</f>
        <v>5</v>
      </c>
      <c r="K1277" s="21" t="s">
        <v>1251</v>
      </c>
      <c r="L1277" s="46" t="s">
        <v>1252</v>
      </c>
      <c r="M1277" s="21" t="s">
        <v>1253</v>
      </c>
      <c r="N1277" s="48">
        <v>45625</v>
      </c>
      <c r="O1277" s="113">
        <v>0.1</v>
      </c>
      <c r="P1277" s="43"/>
      <c r="Q1277" s="152"/>
      <c r="R1277" s="152">
        <v>45593</v>
      </c>
      <c r="S1277" s="152"/>
      <c r="T1277" s="152">
        <v>45593</v>
      </c>
      <c r="U1277" s="152">
        <v>45624</v>
      </c>
      <c r="V1277" s="152">
        <v>45624</v>
      </c>
      <c r="W1277" s="2">
        <f>VLOOKUP(Table1[[#This Row],[Status]],Auxiliar!$B$16:$D$24,3,0)*Table1[[#This Row],[Estimação (horas)]]</f>
        <v>2.5000000000000001E-2</v>
      </c>
      <c r="X1277" s="205"/>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1921</v>
      </c>
      <c r="J1278" s="45">
        <f>VLOOKUP(Table1[[#This Row],[Status]],Auxiliar!$B$16:$C$24,2,0)</f>
        <v>2</v>
      </c>
      <c r="K1278" s="21" t="s">
        <v>1251</v>
      </c>
      <c r="L1278" s="46" t="s">
        <v>1252</v>
      </c>
      <c r="M1278" s="21" t="s">
        <v>1253</v>
      </c>
      <c r="N1278" s="48">
        <v>45632</v>
      </c>
      <c r="O1278" s="113">
        <v>0.1</v>
      </c>
      <c r="P1278" s="2"/>
      <c r="Q1278" s="152"/>
      <c r="R1278" s="152"/>
      <c r="S1278" s="152"/>
      <c r="T1278" s="152">
        <v>45618</v>
      </c>
      <c r="U1278" s="152">
        <v>45631</v>
      </c>
      <c r="V1278" s="152">
        <v>45631</v>
      </c>
      <c r="W1278" s="2">
        <f>VLOOKUP(Table1[[#This Row],[Status]],Auxiliar!$B$16:$D$24,3,0)*Table1[[#This Row],[Estimação (horas)]]</f>
        <v>0.05</v>
      </c>
      <c r="X1278" s="205"/>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1921</v>
      </c>
      <c r="J1279" s="45">
        <f>VLOOKUP(Table1[[#This Row],[Status]],Auxiliar!$B$16:$C$24,2,0)</f>
        <v>2</v>
      </c>
      <c r="K1279" s="21" t="s">
        <v>1251</v>
      </c>
      <c r="L1279" s="46" t="s">
        <v>1252</v>
      </c>
      <c r="M1279" s="21" t="s">
        <v>1253</v>
      </c>
      <c r="N1279" s="48">
        <v>45632</v>
      </c>
      <c r="O1279" s="113">
        <v>0.1</v>
      </c>
      <c r="P1279" s="2"/>
      <c r="Q1279" s="152"/>
      <c r="R1279" s="152"/>
      <c r="S1279" s="152"/>
      <c r="T1279" s="152">
        <v>45618</v>
      </c>
      <c r="U1279" s="152">
        <v>45631</v>
      </c>
      <c r="V1279" s="152">
        <v>45631</v>
      </c>
      <c r="W1279" s="2">
        <f>VLOOKUP(Table1[[#This Row],[Status]],Auxiliar!$B$16:$D$24,3,0)*Table1[[#This Row],[Estimação (horas)]]</f>
        <v>0.05</v>
      </c>
      <c r="X1279" s="205"/>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1921</v>
      </c>
      <c r="J1280" s="45">
        <f>VLOOKUP(Table1[[#This Row],[Status]],Auxiliar!$B$16:$C$24,2,0)</f>
        <v>2</v>
      </c>
      <c r="K1280" s="21" t="s">
        <v>1251</v>
      </c>
      <c r="L1280" s="46" t="s">
        <v>1252</v>
      </c>
      <c r="M1280" s="21" t="s">
        <v>1253</v>
      </c>
      <c r="N1280" s="48">
        <v>45632</v>
      </c>
      <c r="O1280" s="113">
        <v>0.1</v>
      </c>
      <c r="P1280" s="2"/>
      <c r="Q1280" s="152"/>
      <c r="R1280" s="152"/>
      <c r="S1280" s="152"/>
      <c r="T1280" s="152">
        <v>45618</v>
      </c>
      <c r="U1280" s="152">
        <v>45631</v>
      </c>
      <c r="V1280" s="152">
        <v>45631</v>
      </c>
      <c r="W1280" s="2">
        <f>VLOOKUP(Table1[[#This Row],[Status]],Auxiliar!$B$16:$D$24,3,0)*Table1[[#This Row],[Estimação (horas)]]</f>
        <v>0.05</v>
      </c>
      <c r="X1280" s="205"/>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1251</v>
      </c>
      <c r="L1281" s="46" t="s">
        <v>1252</v>
      </c>
      <c r="M1281" s="21" t="s">
        <v>1253</v>
      </c>
      <c r="N1281" s="48">
        <v>45506</v>
      </c>
      <c r="O1281" s="113">
        <v>0.1</v>
      </c>
      <c r="P1281" s="2"/>
      <c r="Q1281" s="152"/>
      <c r="R1281" s="152"/>
      <c r="S1281" s="152"/>
      <c r="T1281" s="152"/>
      <c r="U1281" s="152"/>
      <c r="V1281" s="152"/>
      <c r="W1281" s="2">
        <f>VLOOKUP(Table1[[#This Row],[Status]],Auxiliar!$B$16:$D$24,3,0)*Table1[[#This Row],[Estimação (horas)]]</f>
        <v>0.1</v>
      </c>
      <c r="X1281" s="205"/>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1251</v>
      </c>
      <c r="L1282" s="46" t="s">
        <v>1252</v>
      </c>
      <c r="M1282" s="21" t="s">
        <v>1253</v>
      </c>
      <c r="N1282" s="48">
        <v>45505</v>
      </c>
      <c r="O1282" s="113">
        <v>0.1</v>
      </c>
      <c r="P1282" s="2"/>
      <c r="Q1282" s="152"/>
      <c r="R1282" s="152"/>
      <c r="S1282" s="152"/>
      <c r="T1282" s="152"/>
      <c r="U1282" s="152"/>
      <c r="V1282" s="152"/>
      <c r="W1282" s="2">
        <f>VLOOKUP(Table1[[#This Row],[Status]],Auxiliar!$B$16:$D$24,3,0)*Table1[[#This Row],[Estimação (horas)]]</f>
        <v>0.1</v>
      </c>
      <c r="X1282" s="205"/>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1251</v>
      </c>
      <c r="L1283" s="46" t="s">
        <v>1252</v>
      </c>
      <c r="M1283" s="21" t="s">
        <v>1253</v>
      </c>
      <c r="N1283" s="48">
        <v>45506</v>
      </c>
      <c r="O1283" s="113">
        <v>0.1</v>
      </c>
      <c r="P1283" s="2"/>
      <c r="Q1283" s="152"/>
      <c r="R1283" s="152"/>
      <c r="S1283" s="152"/>
      <c r="T1283" s="152"/>
      <c r="U1283" s="152"/>
      <c r="V1283" s="152"/>
      <c r="W1283" s="2">
        <f>VLOOKUP(Table1[[#This Row],[Status]],Auxiliar!$B$16:$D$24,3,0)*Table1[[#This Row],[Estimação (horas)]]</f>
        <v>0.1</v>
      </c>
      <c r="X1283" s="205"/>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1251</v>
      </c>
      <c r="L1284" s="46" t="s">
        <v>1252</v>
      </c>
      <c r="M1284" s="21" t="s">
        <v>1253</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1251</v>
      </c>
      <c r="L1285" s="46" t="s">
        <v>1252</v>
      </c>
      <c r="M1285" s="21" t="s">
        <v>1253</v>
      </c>
      <c r="N1285" s="48">
        <v>45509</v>
      </c>
      <c r="O1285" s="113">
        <v>0.1</v>
      </c>
      <c r="P1285" s="2" t="s">
        <v>1359</v>
      </c>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1251</v>
      </c>
      <c r="L1286" s="46" t="s">
        <v>1252</v>
      </c>
      <c r="M1286" s="21" t="s">
        <v>1253</v>
      </c>
      <c r="N1286" s="48">
        <v>45509</v>
      </c>
      <c r="O1286" s="113">
        <v>0.1</v>
      </c>
      <c r="P1286" s="2" t="s">
        <v>1359</v>
      </c>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1251</v>
      </c>
      <c r="L1287" s="46" t="s">
        <v>1252</v>
      </c>
      <c r="M1287" s="21" t="s">
        <v>1253</v>
      </c>
      <c r="N1287" s="48">
        <v>45509</v>
      </c>
      <c r="O1287" s="113">
        <v>0.1</v>
      </c>
      <c r="P1287" s="2" t="s">
        <v>1359</v>
      </c>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1251</v>
      </c>
      <c r="L1288" s="46" t="s">
        <v>1252</v>
      </c>
      <c r="M1288" s="21" t="s">
        <v>1253</v>
      </c>
      <c r="N1288" s="48">
        <v>45509</v>
      </c>
      <c r="O1288" s="113">
        <v>0.1</v>
      </c>
      <c r="P1288" s="2" t="s">
        <v>1359</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1251</v>
      </c>
      <c r="L1289" s="46" t="s">
        <v>1252</v>
      </c>
      <c r="M1289" s="21" t="s">
        <v>1253</v>
      </c>
      <c r="N1289" s="48">
        <v>45509</v>
      </c>
      <c r="O1289" s="113">
        <v>0.1</v>
      </c>
      <c r="P1289" s="2" t="s">
        <v>1359</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1251</v>
      </c>
      <c r="L1290" s="46" t="s">
        <v>1252</v>
      </c>
      <c r="M1290" s="21" t="s">
        <v>1253</v>
      </c>
      <c r="N1290" s="48">
        <v>45509</v>
      </c>
      <c r="O1290" s="113">
        <v>0.1</v>
      </c>
      <c r="P1290" s="2" t="s">
        <v>1359</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1251</v>
      </c>
      <c r="L1291" s="46" t="s">
        <v>1252</v>
      </c>
      <c r="M1291" s="21" t="s">
        <v>1253</v>
      </c>
      <c r="N1291" s="48">
        <v>45509</v>
      </c>
      <c r="O1291" s="113">
        <v>0.1</v>
      </c>
      <c r="P1291" s="2" t="s">
        <v>1359</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1251</v>
      </c>
      <c r="L1292" s="46" t="s">
        <v>1252</v>
      </c>
      <c r="M1292" s="21" t="s">
        <v>1253</v>
      </c>
      <c r="N1292" s="48">
        <v>45491</v>
      </c>
      <c r="O1292" s="113">
        <v>0.1</v>
      </c>
      <c r="P1292" s="32"/>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391" t="s">
        <v>1351</v>
      </c>
      <c r="E1293" s="112" t="s">
        <v>1353</v>
      </c>
      <c r="F1293" s="40" t="s">
        <v>369</v>
      </c>
      <c r="G1293" s="395" t="s">
        <v>375</v>
      </c>
      <c r="H1293" s="396" t="str">
        <f>Table1[[#This Row],[Tabela]]&amp;Table1[[#This Row],[Campo]]</f>
        <v>lt004_protectionemssns_scp2_prtctn</v>
      </c>
      <c r="I1293" s="2" t="s">
        <v>613</v>
      </c>
      <c r="J1293" s="45">
        <f>VLOOKUP(Table1[[#This Row],[Status]],Auxiliar!$B$16:$C$24,2,0)</f>
        <v>1</v>
      </c>
      <c r="K1293" s="46" t="s">
        <v>1246</v>
      </c>
      <c r="L1293" s="46" t="s">
        <v>1252</v>
      </c>
      <c r="M1293" s="21" t="s">
        <v>1253</v>
      </c>
      <c r="N1293" s="48">
        <v>45667</v>
      </c>
      <c r="O1293" s="21">
        <f>INDEX(Auxiliar!$D$5:$F$13,MATCH(Table1[[#This Row],[Tipologia_Testes]],Auxiliar!$B$5:$B$13,0),MATCH(Table1[[#This Row],[Complexidade]],Auxiliar!$D$4:$F$4,0))</f>
        <v>2</v>
      </c>
      <c r="P1293" s="43" t="s">
        <v>1338</v>
      </c>
      <c r="Q1293" s="152"/>
      <c r="R1293" s="152">
        <v>45622</v>
      </c>
      <c r="S1293" s="152"/>
      <c r="T1293" s="152"/>
      <c r="U1293" s="152">
        <v>45631</v>
      </c>
      <c r="V1293" s="152">
        <v>45631</v>
      </c>
      <c r="W1293" s="2">
        <f>VLOOKUP(Table1[[#This Row],[Status]],Auxiliar!$B$16:$D$24,3,0)*Table1[[#This Row],[Estimação (horas)]]</f>
        <v>2</v>
      </c>
      <c r="X1293" s="114"/>
    </row>
    <row r="1294" spans="2:24" ht="17.7" hidden="1" customHeight="1">
      <c r="B1294" s="39" t="s">
        <v>26</v>
      </c>
      <c r="C1294" s="39" t="s">
        <v>26</v>
      </c>
      <c r="D1294" s="41" t="s">
        <v>1351</v>
      </c>
      <c r="E1294" s="47" t="s">
        <v>1353</v>
      </c>
      <c r="F1294" s="43" t="s">
        <v>369</v>
      </c>
      <c r="G1294" s="41" t="s">
        <v>375</v>
      </c>
      <c r="H1294" s="59" t="str">
        <f>Table1[[#This Row],[Tabela]]&amp;Table1[[#This Row],[Campo]]</f>
        <v>lt004_protectionemssns_scp2_prtctn</v>
      </c>
      <c r="I1294" s="2" t="s">
        <v>613</v>
      </c>
      <c r="J1294" s="45">
        <f>VLOOKUP(Table1[[#This Row],[Status]],Auxiliar!$B$16:$C$24,2,0)</f>
        <v>1</v>
      </c>
      <c r="K1294" s="46" t="s">
        <v>1247</v>
      </c>
      <c r="L1294" s="46" t="s">
        <v>1252</v>
      </c>
      <c r="M1294" s="21" t="s">
        <v>1253</v>
      </c>
      <c r="N1294" s="48">
        <v>45667</v>
      </c>
      <c r="O1294" s="21">
        <f>INDEX(Auxiliar!$D$5:$F$13,MATCH(Table1[[#This Row],[Tipologia_Testes]],Auxiliar!$B$5:$B$13,0),MATCH(Table1[[#This Row],[Complexidade]],Auxiliar!$D$4:$F$4,0))</f>
        <v>2</v>
      </c>
      <c r="P1294" s="43" t="s">
        <v>1338</v>
      </c>
      <c r="Q1294" s="152"/>
      <c r="R1294" s="152">
        <v>45622</v>
      </c>
      <c r="S1294" s="152"/>
      <c r="T1294" s="152"/>
      <c r="U1294" s="152">
        <v>45631</v>
      </c>
      <c r="V1294" s="152">
        <v>45631</v>
      </c>
      <c r="W1294" s="2">
        <f>VLOOKUP(Table1[[#This Row],[Status]],Auxiliar!$B$16:$D$24,3,0)*Table1[[#This Row],[Estimação (horas)]]</f>
        <v>2</v>
      </c>
      <c r="X1294" s="114"/>
    </row>
    <row r="1295" spans="2:24" ht="17.7" hidden="1" customHeight="1">
      <c r="B1295" s="39" t="s">
        <v>26</v>
      </c>
      <c r="C1295" s="39" t="s">
        <v>26</v>
      </c>
      <c r="D1295" s="41" t="s">
        <v>1351</v>
      </c>
      <c r="E1295" s="47" t="s">
        <v>1353</v>
      </c>
      <c r="F1295" s="43" t="s">
        <v>369</v>
      </c>
      <c r="G1295" s="41" t="s">
        <v>375</v>
      </c>
      <c r="H1295" s="59" t="str">
        <f>Table1[[#This Row],[Tabela]]&amp;Table1[[#This Row],[Campo]]</f>
        <v>lt004_protectionemssns_scp2_prtctn</v>
      </c>
      <c r="I1295" s="2" t="s">
        <v>613</v>
      </c>
      <c r="J1295" s="45">
        <f>VLOOKUP(Table1[[#This Row],[Status]],Auxiliar!$B$16:$C$24,2,0)</f>
        <v>1</v>
      </c>
      <c r="K1295" s="46" t="s">
        <v>1249</v>
      </c>
      <c r="L1295" s="46" t="s">
        <v>1252</v>
      </c>
      <c r="M1295" s="21" t="s">
        <v>1253</v>
      </c>
      <c r="N1295" s="48">
        <v>45667</v>
      </c>
      <c r="O1295" s="21">
        <f>INDEX(Auxiliar!$D$5:$F$13,MATCH(Table1[[#This Row],[Tipologia_Testes]],Auxiliar!$B$5:$B$13,0),MATCH(Table1[[#This Row],[Complexidade]],Auxiliar!$D$4:$F$4,0))</f>
        <v>0.1</v>
      </c>
      <c r="P1295" s="43" t="s">
        <v>1338</v>
      </c>
      <c r="Q1295" s="152"/>
      <c r="R1295" s="152">
        <v>45622</v>
      </c>
      <c r="S1295" s="152"/>
      <c r="T1295" s="152"/>
      <c r="U1295" s="152">
        <v>45631</v>
      </c>
      <c r="V1295" s="152">
        <v>45631</v>
      </c>
      <c r="W1295" s="2">
        <f>VLOOKUP(Table1[[#This Row],[Status]],Auxiliar!$B$16:$D$24,3,0)*Table1[[#This Row],[Estimação (horas)]]</f>
        <v>0.1</v>
      </c>
      <c r="X1295" s="114"/>
    </row>
    <row r="1296" spans="2:24" ht="17.7" hidden="1" customHeight="1">
      <c r="B1296" s="39" t="s">
        <v>26</v>
      </c>
      <c r="C1296" s="39" t="s">
        <v>26</v>
      </c>
      <c r="D1296" s="391" t="s">
        <v>1351</v>
      </c>
      <c r="E1296" s="112" t="s">
        <v>1352</v>
      </c>
      <c r="F1296" s="40" t="s">
        <v>369</v>
      </c>
      <c r="G1296" s="395" t="s">
        <v>374</v>
      </c>
      <c r="H1296" s="396" t="str">
        <f>Table1[[#This Row],[Tabela]]&amp;Table1[[#This Row],[Campo]]</f>
        <v>lt004_protectionemssns_scp1_prtctn</v>
      </c>
      <c r="I1296" s="2" t="s">
        <v>613</v>
      </c>
      <c r="J1296" s="45">
        <f>VLOOKUP(Table1[[#This Row],[Status]],Auxiliar!$B$16:$C$24,2,0)</f>
        <v>1</v>
      </c>
      <c r="K1296" s="46" t="s">
        <v>1246</v>
      </c>
      <c r="L1296" s="46" t="s">
        <v>1252</v>
      </c>
      <c r="M1296" s="21" t="s">
        <v>1253</v>
      </c>
      <c r="N1296" s="48">
        <v>45667</v>
      </c>
      <c r="O1296" s="21">
        <f>INDEX(Auxiliar!$D$5:$F$13,MATCH(Table1[[#This Row],[Tipologia_Testes]],Auxiliar!$B$5:$B$13,0),MATCH(Table1[[#This Row],[Complexidade]],Auxiliar!$D$4:$F$4,0))</f>
        <v>2</v>
      </c>
      <c r="P1296" s="43" t="s">
        <v>1338</v>
      </c>
      <c r="Q1296" s="43"/>
      <c r="R1296" s="152">
        <v>45622</v>
      </c>
      <c r="S1296" s="152"/>
      <c r="T1296" s="152"/>
      <c r="U1296" s="152">
        <v>45631</v>
      </c>
      <c r="V1296" s="152">
        <v>45631</v>
      </c>
      <c r="W1296" s="2">
        <f>VLOOKUP(Table1[[#This Row],[Status]],Auxiliar!$B$16:$D$24,3,0)*Table1[[#This Row],[Estimação (horas)]]</f>
        <v>2</v>
      </c>
      <c r="X1296" s="114"/>
    </row>
    <row r="1297" spans="2:24" ht="17.7" hidden="1" customHeight="1">
      <c r="B1297" s="39" t="s">
        <v>26</v>
      </c>
      <c r="C1297" s="39" t="s">
        <v>26</v>
      </c>
      <c r="D1297" s="41" t="s">
        <v>1351</v>
      </c>
      <c r="E1297" s="47" t="s">
        <v>1352</v>
      </c>
      <c r="F1297" s="43" t="s">
        <v>369</v>
      </c>
      <c r="G1297" s="41" t="s">
        <v>374</v>
      </c>
      <c r="H1297" s="59" t="str">
        <f>Table1[[#This Row],[Tabela]]&amp;Table1[[#This Row],[Campo]]</f>
        <v>lt004_protectionemssns_scp1_prtctn</v>
      </c>
      <c r="I1297" s="2" t="s">
        <v>613</v>
      </c>
      <c r="J1297" s="45">
        <f>VLOOKUP(Table1[[#This Row],[Status]],Auxiliar!$B$16:$C$24,2,0)</f>
        <v>1</v>
      </c>
      <c r="K1297" s="46" t="s">
        <v>1247</v>
      </c>
      <c r="L1297" s="46" t="s">
        <v>1252</v>
      </c>
      <c r="M1297" s="21" t="s">
        <v>1253</v>
      </c>
      <c r="N1297" s="48">
        <v>45667</v>
      </c>
      <c r="O1297" s="21">
        <f>INDEX(Auxiliar!$D$5:$F$13,MATCH(Table1[[#This Row],[Tipologia_Testes]],Auxiliar!$B$5:$B$13,0),MATCH(Table1[[#This Row],[Complexidade]],Auxiliar!$D$4:$F$4,0))</f>
        <v>2</v>
      </c>
      <c r="P1297" s="43" t="s">
        <v>1338</v>
      </c>
      <c r="Q1297" s="43"/>
      <c r="R1297" s="152">
        <v>45622</v>
      </c>
      <c r="S1297" s="152"/>
      <c r="T1297" s="152"/>
      <c r="U1297" s="152">
        <v>45631</v>
      </c>
      <c r="V1297" s="152">
        <v>45631</v>
      </c>
      <c r="W1297" s="2">
        <f>VLOOKUP(Table1[[#This Row],[Status]],Auxiliar!$B$16:$D$24,3,0)*Table1[[#This Row],[Estimação (horas)]]</f>
        <v>2</v>
      </c>
      <c r="X1297" s="114"/>
    </row>
    <row r="1298" spans="2:24" ht="17.7" hidden="1" customHeight="1">
      <c r="B1298" s="39" t="s">
        <v>26</v>
      </c>
      <c r="C1298" s="39" t="s">
        <v>26</v>
      </c>
      <c r="D1298" s="41" t="s">
        <v>1351</v>
      </c>
      <c r="E1298" s="47" t="s">
        <v>1352</v>
      </c>
      <c r="F1298" s="43" t="s">
        <v>369</v>
      </c>
      <c r="G1298" s="41" t="s">
        <v>374</v>
      </c>
      <c r="H1298" s="59" t="str">
        <f>Table1[[#This Row],[Tabela]]&amp;Table1[[#This Row],[Campo]]</f>
        <v>lt004_protectionemssns_scp1_prtctn</v>
      </c>
      <c r="I1298" s="2" t="s">
        <v>613</v>
      </c>
      <c r="J1298" s="45">
        <f>VLOOKUP(Table1[[#This Row],[Status]],Auxiliar!$B$16:$C$24,2,0)</f>
        <v>1</v>
      </c>
      <c r="K1298" s="46" t="s">
        <v>1249</v>
      </c>
      <c r="L1298" s="46" t="s">
        <v>1252</v>
      </c>
      <c r="M1298" s="21" t="s">
        <v>1253</v>
      </c>
      <c r="N1298" s="48">
        <v>45667</v>
      </c>
      <c r="O1298" s="21">
        <f>INDEX(Auxiliar!$D$5:$F$13,MATCH(Table1[[#This Row],[Tipologia_Testes]],Auxiliar!$B$5:$B$13,0),MATCH(Table1[[#This Row],[Complexidade]],Auxiliar!$D$4:$F$4,0))</f>
        <v>0.1</v>
      </c>
      <c r="P1298" s="43" t="s">
        <v>1338</v>
      </c>
      <c r="Q1298" s="43"/>
      <c r="R1298" s="152">
        <v>45622</v>
      </c>
      <c r="S1298" s="152"/>
      <c r="T1298" s="152"/>
      <c r="U1298" s="152">
        <v>45631</v>
      </c>
      <c r="V1298" s="152">
        <v>45631</v>
      </c>
      <c r="W1298" s="2">
        <f>VLOOKUP(Table1[[#This Row],[Status]],Auxiliar!$B$16:$D$24,3,0)*Table1[[#This Row],[Estimação (horas)]]</f>
        <v>0.1</v>
      </c>
      <c r="X1298" s="114"/>
    </row>
    <row r="1299" spans="2:24" ht="17.7" hidden="1" customHeight="1">
      <c r="B1299" s="39" t="s">
        <v>26</v>
      </c>
      <c r="C1299" s="39" t="s">
        <v>26</v>
      </c>
      <c r="D1299" s="13" t="s">
        <v>400</v>
      </c>
      <c r="E1299" s="112" t="s">
        <v>38</v>
      </c>
      <c r="F1299" s="2" t="s">
        <v>369</v>
      </c>
      <c r="G1299" s="13" t="s">
        <v>399</v>
      </c>
      <c r="H1299" s="59" t="str">
        <f>Table1[[#This Row],[Tabela]]&amp;Table1[[#This Row],[Campo]]</f>
        <v>lt004_protectiondt_rfrnc</v>
      </c>
      <c r="I1299" s="2" t="s">
        <v>613</v>
      </c>
      <c r="J1299" s="45">
        <f>VLOOKUP(Table1[[#This Row],[Status]],Auxiliar!$B$16:$C$24,2,0)</f>
        <v>1</v>
      </c>
      <c r="K1299" s="21" t="s">
        <v>1251</v>
      </c>
      <c r="L1299" s="46" t="s">
        <v>1252</v>
      </c>
      <c r="M1299" s="21" t="s">
        <v>1253</v>
      </c>
      <c r="N1299" s="48">
        <v>45509</v>
      </c>
      <c r="O1299" s="113">
        <v>0.1</v>
      </c>
      <c r="P1299" s="2"/>
      <c r="Q1299" s="152"/>
      <c r="R1299" s="152"/>
      <c r="S1299" s="152"/>
      <c r="T1299" s="152"/>
      <c r="U1299" s="152"/>
      <c r="V1299" s="152"/>
      <c r="W1299" s="2">
        <f>VLOOKUP(Table1[[#This Row],[Status]],Auxiliar!$B$16:$D$24,3,0)*Table1[[#This Row],[Estimação (horas)]]</f>
        <v>0.1</v>
      </c>
      <c r="X1299" s="205"/>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1251</v>
      </c>
      <c r="L1300" s="46" t="s">
        <v>1252</v>
      </c>
      <c r="M1300" s="21" t="s">
        <v>1253</v>
      </c>
      <c r="N1300" s="48">
        <v>45590</v>
      </c>
      <c r="O1300" s="113">
        <v>0.1</v>
      </c>
      <c r="P1300" s="32" t="s">
        <v>1335</v>
      </c>
      <c r="Q1300" s="205"/>
      <c r="R1300" s="152"/>
      <c r="S1300" s="152"/>
      <c r="T1300" s="152"/>
      <c r="U1300" s="152"/>
      <c r="V1300" s="152"/>
      <c r="W1300" s="2">
        <f>VLOOKUP(Table1[[#This Row],[Status]],Auxiliar!$B$16:$D$24,3,0)*Table1[[#This Row],[Estimação (horas)]]</f>
        <v>0.1</v>
      </c>
      <c r="X1300" s="205"/>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1251</v>
      </c>
      <c r="L1301" s="46" t="s">
        <v>1252</v>
      </c>
      <c r="M1301" s="21" t="s">
        <v>1253</v>
      </c>
      <c r="N1301" s="48">
        <v>45510</v>
      </c>
      <c r="O1301" s="113">
        <v>0.1</v>
      </c>
      <c r="P1301" s="2"/>
      <c r="Q1301" s="205"/>
      <c r="R1301" s="152"/>
      <c r="S1301" s="152"/>
      <c r="T1301" s="152"/>
      <c r="U1301" s="152"/>
      <c r="V1301" s="152"/>
      <c r="W1301" s="2">
        <f>VLOOKUP(Table1[[#This Row],[Status]],Auxiliar!$B$16:$D$24,3,0)*Table1[[#This Row],[Estimação (horas)]]</f>
        <v>0.1</v>
      </c>
      <c r="X1301" s="205"/>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1251</v>
      </c>
      <c r="L1302" s="46" t="s">
        <v>1252</v>
      </c>
      <c r="M1302" s="21" t="s">
        <v>1253</v>
      </c>
      <c r="N1302" s="48">
        <v>45510</v>
      </c>
      <c r="O1302" s="113">
        <v>0.1</v>
      </c>
      <c r="P1302" s="2"/>
      <c r="Q1302" s="205"/>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1251</v>
      </c>
      <c r="L1303" s="46" t="s">
        <v>1252</v>
      </c>
      <c r="M1303" s="21" t="s">
        <v>1253</v>
      </c>
      <c r="N1303" s="48">
        <v>45510</v>
      </c>
      <c r="O1303" s="113">
        <v>0.1</v>
      </c>
      <c r="P1303" s="2"/>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1251</v>
      </c>
      <c r="L1304" s="46" t="s">
        <v>1252</v>
      </c>
      <c r="M1304" s="21" t="s">
        <v>1253</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1251</v>
      </c>
      <c r="L1305" s="46" t="s">
        <v>1252</v>
      </c>
      <c r="M1305" s="21" t="s">
        <v>1253</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1251</v>
      </c>
      <c r="L1306" s="46" t="s">
        <v>1252</v>
      </c>
      <c r="M1306" s="21" t="s">
        <v>1253</v>
      </c>
      <c r="N1306" s="48">
        <v>45509</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1251</v>
      </c>
      <c r="L1307" s="46" t="s">
        <v>1252</v>
      </c>
      <c r="M1307" s="21" t="s">
        <v>1253</v>
      </c>
      <c r="N1307" s="48">
        <v>45509</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1251</v>
      </c>
      <c r="L1308" s="46" t="s">
        <v>1252</v>
      </c>
      <c r="M1308" s="21" t="s">
        <v>1253</v>
      </c>
      <c r="N1308" s="48">
        <v>45509</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1251</v>
      </c>
      <c r="L1309" s="46" t="s">
        <v>1252</v>
      </c>
      <c r="M1309" s="21" t="s">
        <v>1253</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1251</v>
      </c>
      <c r="L1310" s="46" t="s">
        <v>1252</v>
      </c>
      <c r="M1310" s="21" t="s">
        <v>1253</v>
      </c>
      <c r="N1310" s="48">
        <v>45509</v>
      </c>
      <c r="O1310" s="113">
        <v>0.1</v>
      </c>
      <c r="P1310" s="32"/>
      <c r="Q1310" s="205"/>
      <c r="R1310" s="152"/>
      <c r="S1310" s="152"/>
      <c r="T1310" s="152"/>
      <c r="U1310" s="152"/>
      <c r="V1310" s="152"/>
      <c r="W1310" s="2">
        <f>VLOOKUP(Table1[[#This Row],[Status]],Auxiliar!$B$16:$D$24,3,0)*Table1[[#This Row],[Estimação (horas)]]</f>
        <v>0.1</v>
      </c>
      <c r="X1310" s="205"/>
    </row>
    <row r="1311" spans="2:24" ht="17.7" hidden="1" customHeight="1">
      <c r="B1311" s="13" t="s">
        <v>26</v>
      </c>
      <c r="C1311" s="13" t="s">
        <v>181</v>
      </c>
      <c r="D1311" s="13" t="s">
        <v>1296</v>
      </c>
      <c r="E1311" s="2" t="s">
        <v>38</v>
      </c>
      <c r="F1311" s="2" t="s">
        <v>219</v>
      </c>
      <c r="G1311" s="13" t="s">
        <v>221</v>
      </c>
      <c r="H1311" s="59" t="str">
        <f>Table1[[#This Row],[Tabela]]&amp;Table1[[#This Row],[Campo]]</f>
        <v>modesg_inp_emss_nacenome_regiao</v>
      </c>
      <c r="I1311" s="2" t="s">
        <v>612</v>
      </c>
      <c r="J1311" s="45">
        <f>VLOOKUP(Table1[[#This Row],[Status]],Auxiliar!$B$16:$C$24,2,0)</f>
        <v>0</v>
      </c>
      <c r="K1311" s="21" t="s">
        <v>1257</v>
      </c>
      <c r="L1311" s="21" t="s">
        <v>1264</v>
      </c>
      <c r="M1311" s="21" t="s">
        <v>1253</v>
      </c>
      <c r="N1311" s="48">
        <v>45501</v>
      </c>
      <c r="O1311" s="21">
        <f>INDEX(Auxiliar!$D$5:$F$13,MATCH(Table1[[#This Row],[Tipologia_Testes]],Auxiliar!$B$5:$B$13,0),MATCH(Table1[[#This Row],[Complexidade]],Auxiliar!$D$4:$F$4,0))</f>
        <v>0.5</v>
      </c>
      <c r="P1311" s="2"/>
      <c r="Q1311" s="205"/>
      <c r="R1311" s="152"/>
      <c r="S1311" s="152"/>
      <c r="T1311" s="152"/>
      <c r="U1311" s="152"/>
      <c r="V1311" s="152"/>
      <c r="W1311" s="2">
        <f>VLOOKUP(Table1[[#This Row],[Status]],Auxiliar!$B$16:$D$24,3,0)*Table1[[#This Row],[Estimação (horas)]]</f>
        <v>0</v>
      </c>
      <c r="X1311" s="205"/>
    </row>
    <row r="1312" spans="2:24" ht="17.7" hidden="1" customHeight="1">
      <c r="B1312" s="13" t="s">
        <v>26</v>
      </c>
      <c r="C1312" s="13" t="s">
        <v>181</v>
      </c>
      <c r="D1312" s="13" t="s">
        <v>1296</v>
      </c>
      <c r="E1312" s="2" t="s">
        <v>38</v>
      </c>
      <c r="F1312" s="2" t="s">
        <v>219</v>
      </c>
      <c r="G1312" s="13" t="s">
        <v>660</v>
      </c>
      <c r="H1312" s="59" t="str">
        <f>Table1[[#This Row],[Tabela]]&amp;Table1[[#This Row],[Campo]]</f>
        <v>modesg_inp_emss_nacearea_atividade</v>
      </c>
      <c r="I1312" s="2" t="s">
        <v>612</v>
      </c>
      <c r="J1312" s="45">
        <f>VLOOKUP(Table1[[#This Row],[Status]],Auxiliar!$B$16:$C$24,2,0)</f>
        <v>0</v>
      </c>
      <c r="K1312" s="21" t="s">
        <v>1257</v>
      </c>
      <c r="L1312" s="21" t="s">
        <v>1264</v>
      </c>
      <c r="M1312" s="21" t="s">
        <v>1253</v>
      </c>
      <c r="N1312" s="48">
        <v>45501</v>
      </c>
      <c r="O1312" s="21">
        <f>INDEX(Auxiliar!$D$5:$F$13,MATCH(Table1[[#This Row],[Tipologia_Testes]],Auxiliar!$B$5:$B$13,0),MATCH(Table1[[#This Row],[Complexidade]],Auxiliar!$D$4:$F$4,0))</f>
        <v>0.5</v>
      </c>
      <c r="P1312" s="2"/>
      <c r="Q1312" s="205"/>
      <c r="R1312" s="152"/>
      <c r="S1312" s="152"/>
      <c r="T1312" s="152"/>
      <c r="U1312" s="152"/>
      <c r="V1312" s="152"/>
      <c r="W1312" s="2">
        <f>VLOOKUP(Table1[[#This Row],[Status]],Auxiliar!$B$16:$D$24,3,0)*Table1[[#This Row],[Estimação (horas)]]</f>
        <v>0</v>
      </c>
      <c r="X1312" s="205"/>
    </row>
    <row r="1313" spans="2:24" ht="17.7" hidden="1" customHeight="1">
      <c r="B1313" s="13" t="s">
        <v>26</v>
      </c>
      <c r="C1313" s="13" t="s">
        <v>181</v>
      </c>
      <c r="D1313" s="13" t="s">
        <v>1296</v>
      </c>
      <c r="E1313" s="2" t="s">
        <v>38</v>
      </c>
      <c r="F1313" s="2" t="s">
        <v>219</v>
      </c>
      <c r="G1313" s="13" t="s">
        <v>661</v>
      </c>
      <c r="H1313" s="59" t="str">
        <f>Table1[[#This Row],[Tabela]]&amp;Table1[[#This Row],[Campo]]</f>
        <v>modesg_inp_emss_nacetipo_atividade</v>
      </c>
      <c r="I1313" s="2" t="s">
        <v>612</v>
      </c>
      <c r="J1313" s="45">
        <f>VLOOKUP(Table1[[#This Row],[Status]],Auxiliar!$B$16:$C$24,2,0)</f>
        <v>0</v>
      </c>
      <c r="K1313" s="21" t="s">
        <v>1257</v>
      </c>
      <c r="L1313" s="21" t="s">
        <v>1264</v>
      </c>
      <c r="M1313" s="21" t="s">
        <v>1253</v>
      </c>
      <c r="N1313" s="48">
        <v>45501</v>
      </c>
      <c r="O1313" s="21">
        <f>INDEX(Auxiliar!$D$5:$F$13,MATCH(Table1[[#This Row],[Tipologia_Testes]],Auxiliar!$B$5:$B$13,0),MATCH(Table1[[#This Row],[Complexidade]],Auxiliar!$D$4:$F$4,0))</f>
        <v>0.5</v>
      </c>
      <c r="P1313" s="2"/>
      <c r="Q1313" s="205"/>
      <c r="R1313" s="152"/>
      <c r="S1313" s="152"/>
      <c r="T1313" s="152"/>
      <c r="U1313" s="152"/>
      <c r="V1313" s="152"/>
      <c r="W1313" s="2">
        <f>VLOOKUP(Table1[[#This Row],[Status]],Auxiliar!$B$16:$D$24,3,0)*Table1[[#This Row],[Estimação (horas)]]</f>
        <v>0</v>
      </c>
      <c r="X1313" s="205"/>
    </row>
    <row r="1314" spans="2:24" ht="17.7" hidden="1" customHeight="1">
      <c r="B1314" s="13" t="s">
        <v>26</v>
      </c>
      <c r="C1314" s="13" t="s">
        <v>181</v>
      </c>
      <c r="D1314" s="13" t="s">
        <v>1296</v>
      </c>
      <c r="E1314" s="2" t="s">
        <v>38</v>
      </c>
      <c r="F1314" s="2" t="s">
        <v>219</v>
      </c>
      <c r="G1314" s="13" t="s">
        <v>662</v>
      </c>
      <c r="H1314" s="59" t="str">
        <f>Table1[[#This Row],[Tabela]]&amp;Table1[[#This Row],[Campo]]</f>
        <v>modesg_inp_emss_nacesub_tipo_atividade_1</v>
      </c>
      <c r="I1314" s="2" t="s">
        <v>612</v>
      </c>
      <c r="J1314" s="45">
        <f>VLOOKUP(Table1[[#This Row],[Status]],Auxiliar!$B$16:$C$24,2,0)</f>
        <v>0</v>
      </c>
      <c r="K1314" s="21" t="s">
        <v>1257</v>
      </c>
      <c r="L1314" s="21" t="s">
        <v>1264</v>
      </c>
      <c r="M1314" s="21" t="s">
        <v>1253</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1296</v>
      </c>
      <c r="E1315" s="2" t="s">
        <v>38</v>
      </c>
      <c r="F1315" s="2" t="s">
        <v>219</v>
      </c>
      <c r="G1315" s="13" t="s">
        <v>663</v>
      </c>
      <c r="H1315" s="59" t="str">
        <f>Table1[[#This Row],[Tabela]]&amp;Table1[[#This Row],[Campo]]</f>
        <v>modesg_inp_emss_nacesub_tipo_atividade_2</v>
      </c>
      <c r="I1315" s="2" t="s">
        <v>612</v>
      </c>
      <c r="J1315" s="45">
        <f>VLOOKUP(Table1[[#This Row],[Status]],Auxiliar!$B$16:$C$24,2,0)</f>
        <v>0</v>
      </c>
      <c r="K1315" s="21" t="s">
        <v>1257</v>
      </c>
      <c r="L1315" s="21" t="s">
        <v>1264</v>
      </c>
      <c r="M1315" s="21" t="s">
        <v>1253</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1296</v>
      </c>
      <c r="E1316" s="2" t="s">
        <v>38</v>
      </c>
      <c r="F1316" s="2" t="s">
        <v>219</v>
      </c>
      <c r="G1316" s="13" t="s">
        <v>664</v>
      </c>
      <c r="H1316" s="59" t="str">
        <f>Table1[[#This Row],[Tabela]]&amp;Table1[[#This Row],[Campo]]</f>
        <v>modesg_inp_emss_naceunidades_unidade_funcional</v>
      </c>
      <c r="I1316" s="2" t="s">
        <v>612</v>
      </c>
      <c r="J1316" s="45">
        <f>VLOOKUP(Table1[[#This Row],[Status]],Auxiliar!$B$16:$C$24,2,0)</f>
        <v>0</v>
      </c>
      <c r="K1316" s="21" t="s">
        <v>1257</v>
      </c>
      <c r="L1316" s="21" t="s">
        <v>1264</v>
      </c>
      <c r="M1316" s="21" t="s">
        <v>1253</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1296</v>
      </c>
      <c r="E1317" s="2" t="s">
        <v>38</v>
      </c>
      <c r="F1317" s="2" t="s">
        <v>219</v>
      </c>
      <c r="G1317" s="13" t="s">
        <v>665</v>
      </c>
      <c r="H1317" s="59" t="str">
        <f>Table1[[#This Row],[Tabela]]&amp;Table1[[#This Row],[Campo]]</f>
        <v>modesg_inp_emss_nacefator_emissao</v>
      </c>
      <c r="I1317" s="2" t="s">
        <v>612</v>
      </c>
      <c r="J1317" s="45">
        <f>VLOOKUP(Table1[[#This Row],[Status]],Auxiliar!$B$16:$C$24,2,0)</f>
        <v>0</v>
      </c>
      <c r="K1317" s="21" t="s">
        <v>1257</v>
      </c>
      <c r="L1317" s="21" t="s">
        <v>1264</v>
      </c>
      <c r="M1317" s="21" t="s">
        <v>1253</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1296</v>
      </c>
      <c r="E1318" s="2" t="s">
        <v>38</v>
      </c>
      <c r="F1318" s="2" t="s">
        <v>214</v>
      </c>
      <c r="G1318" s="13" t="s">
        <v>666</v>
      </c>
      <c r="H1318" s="59" t="str">
        <f>Table1[[#This Row],[Tabela]]&amp;Table1[[#This Row],[Campo]]</f>
        <v>modesg_inp_km_medios_emss_vclsmedia_scp1_emss</v>
      </c>
      <c r="I1318" s="2" t="s">
        <v>612</v>
      </c>
      <c r="J1318" s="45">
        <f>VLOOKUP(Table1[[#This Row],[Status]],Auxiliar!$B$16:$C$24,2,0)</f>
        <v>0</v>
      </c>
      <c r="K1318" s="21" t="s">
        <v>1257</v>
      </c>
      <c r="L1318" s="21" t="s">
        <v>1264</v>
      </c>
      <c r="M1318" s="21" t="s">
        <v>1253</v>
      </c>
      <c r="N1318" s="48">
        <v>45491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1296</v>
      </c>
      <c r="E1319" s="2" t="s">
        <v>38</v>
      </c>
      <c r="F1319" s="2" t="s">
        <v>214</v>
      </c>
      <c r="G1319" s="13" t="s">
        <v>667</v>
      </c>
      <c r="H1319" s="59" t="str">
        <f>Table1[[#This Row],[Tabela]]&amp;Table1[[#This Row],[Campo]]</f>
        <v>modesg_inp_km_medios_emss_vclsmedia_scp2_emss</v>
      </c>
      <c r="I1319" s="2" t="s">
        <v>612</v>
      </c>
      <c r="J1319" s="45">
        <f>VLOOKUP(Table1[[#This Row],[Status]],Auxiliar!$B$16:$C$24,2,0)</f>
        <v>0</v>
      </c>
      <c r="K1319" s="21" t="s">
        <v>1257</v>
      </c>
      <c r="L1319" s="21" t="s">
        <v>1264</v>
      </c>
      <c r="M1319" s="21" t="s">
        <v>1253</v>
      </c>
      <c r="N1319" s="48">
        <v>45491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20" t="s">
        <v>26</v>
      </c>
      <c r="C1320" s="20" t="s">
        <v>181</v>
      </c>
      <c r="D1320" s="13" t="s">
        <v>1296</v>
      </c>
      <c r="E1320" s="2" t="s">
        <v>38</v>
      </c>
      <c r="F1320" s="32" t="s">
        <v>214</v>
      </c>
      <c r="G1320" s="20" t="s">
        <v>668</v>
      </c>
      <c r="H1320" s="59" t="str">
        <f>Table1[[#This Row],[Tabela]]&amp;Table1[[#This Row],[Campo]]</f>
        <v>modesg_inp_km_medios_emss_vclsmedia_scp3_emss</v>
      </c>
      <c r="I1320" s="2" t="s">
        <v>612</v>
      </c>
      <c r="J1320" s="45">
        <f>VLOOKUP(Table1[[#This Row],[Status]],Auxiliar!$B$16:$C$24,2,0)</f>
        <v>0</v>
      </c>
      <c r="K1320" s="21" t="s">
        <v>1257</v>
      </c>
      <c r="L1320" s="21" t="s">
        <v>1264</v>
      </c>
      <c r="M1320" s="21" t="s">
        <v>1253</v>
      </c>
      <c r="N1320" s="48">
        <v>45491</v>
      </c>
      <c r="O1320" s="21">
        <f>INDEX(Auxiliar!$D$5:$F$13,MATCH(Table1[[#This Row],[Tipologia_Testes]],Auxiliar!$B$5:$B$13,0),MATCH(Table1[[#This Row],[Complexidade]],Auxiliar!$D$4:$F$4,0))</f>
        <v>0.5</v>
      </c>
      <c r="P1320" s="2" t="s">
        <v>1266</v>
      </c>
      <c r="Q1320" s="205"/>
      <c r="R1320" s="152"/>
      <c r="S1320" s="152"/>
      <c r="T1320" s="152"/>
      <c r="U1320" s="152"/>
      <c r="V1320" s="152"/>
      <c r="W1320" s="2">
        <f>VLOOKUP(Table1[[#This Row],[Status]],Auxiliar!$B$16:$D$24,3,0)*Table1[[#This Row],[Estimação (horas)]]</f>
        <v>0</v>
      </c>
      <c r="X1320"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45" operator="containsText" id="{F0FC3167-D078-4732-B252-F6CF35A33118}">
            <xm:f>NOT(ISERROR(SEARCH(Auxiliar!$B$21,I127)))</xm:f>
            <xm:f>Auxiliar!$B$21</xm:f>
            <x14:dxf>
              <font>
                <b/>
                <i val="0"/>
                <color rgb="FFFFC000"/>
              </font>
              <fill>
                <patternFill>
                  <bgColor theme="9" tint="0.59996337778862885"/>
                </patternFill>
              </fill>
            </x14:dxf>
          </x14:cfRule>
          <x14:cfRule type="cellIs" priority="146" operator="equal" id="{0DF84132-7044-4342-A136-5BB25A806900}">
            <xm:f>Auxiliar!$B$24</xm:f>
            <x14:dxf>
              <font>
                <b/>
                <i val="0"/>
                <color theme="1"/>
              </font>
              <fill>
                <patternFill patternType="darkUp">
                  <bgColor theme="0"/>
                </patternFill>
              </fill>
            </x14:dxf>
          </x14:cfRule>
          <x14:cfRule type="cellIs" priority="147" operator="equal" id="{0AA668F3-08F2-48AD-824F-FDAAFE4C3390}">
            <xm:f>Auxiliar!$B$18</xm:f>
            <x14:dxf>
              <font>
                <b/>
                <i val="0"/>
                <color theme="0" tint="-0.499984740745262"/>
              </font>
              <fill>
                <patternFill>
                  <bgColor theme="0" tint="-4.9989318521683403E-2"/>
                </patternFill>
              </fill>
            </x14:dxf>
          </x14:cfRule>
          <x14:cfRule type="containsText" priority="148"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49"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50"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97" operator="containsText" id="{740F90F7-AB92-479A-85BF-13BAB76C3411}">
            <xm:f>NOT(ISERROR(SEARCH(Auxiliar!$B$21,I1014)))</xm:f>
            <xm:f>Auxiliar!$B$21</xm:f>
            <x14:dxf>
              <font>
                <b/>
                <i val="0"/>
                <color rgb="FFFFC000"/>
              </font>
              <fill>
                <patternFill>
                  <bgColor theme="9" tint="0.59996337778862885"/>
                </patternFill>
              </fill>
            </x14:dxf>
          </x14:cfRule>
          <x14:cfRule type="cellIs" priority="98" operator="equal" id="{88AE8B12-357A-4B8A-9319-781057D8ABD6}">
            <xm:f>Auxiliar!$B$24</xm:f>
            <x14:dxf>
              <font>
                <b/>
                <i val="0"/>
                <color theme="1"/>
              </font>
              <fill>
                <patternFill patternType="darkUp">
                  <bgColor theme="0"/>
                </patternFill>
              </fill>
            </x14:dxf>
          </x14:cfRule>
          <x14:cfRule type="cellIs" priority="99" operator="equal" id="{BC303029-A698-4297-8685-4F827375138C}">
            <xm:f>Auxiliar!$B$18</xm:f>
            <x14:dxf>
              <font>
                <b/>
                <i val="0"/>
                <color theme="0" tint="-0.499984740745262"/>
              </font>
              <fill>
                <patternFill>
                  <bgColor theme="0" tint="-4.9989318521683403E-2"/>
                </patternFill>
              </fill>
            </x14:dxf>
          </x14:cfRule>
          <x14:cfRule type="containsText" priority="100"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101"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102"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79" operator="containsText" id="{F48B2BF5-6845-4309-99E8-30933C9EE615}">
            <xm:f>NOT(ISERROR(SEARCH(Auxiliar!$B$21,I1080)))</xm:f>
            <xm:f>Auxiliar!$B$21</xm:f>
            <x14:dxf>
              <font>
                <b/>
                <i val="0"/>
                <color rgb="FFFFC000"/>
              </font>
              <fill>
                <patternFill>
                  <bgColor theme="9" tint="0.59996337778862885"/>
                </patternFill>
              </fill>
            </x14:dxf>
          </x14:cfRule>
          <x14:cfRule type="cellIs" priority="80" operator="equal" id="{13D25AAA-9E27-4596-8161-C1D8B229FB78}">
            <xm:f>Auxiliar!$B$24</xm:f>
            <x14:dxf>
              <font>
                <b/>
                <i val="0"/>
                <color theme="1"/>
              </font>
              <fill>
                <patternFill patternType="darkUp">
                  <bgColor theme="0"/>
                </patternFill>
              </fill>
            </x14:dxf>
          </x14:cfRule>
          <x14:cfRule type="cellIs" priority="81" operator="equal" id="{22B4EADE-6286-4A66-8996-D7CA931879E6}">
            <xm:f>Auxiliar!$B$18</xm:f>
            <x14:dxf>
              <font>
                <b/>
                <i val="0"/>
                <color theme="0" tint="-0.499984740745262"/>
              </font>
              <fill>
                <patternFill>
                  <bgColor theme="0" tint="-4.9989318521683403E-2"/>
                </patternFill>
              </fill>
            </x14:dxf>
          </x14:cfRule>
          <x14:cfRule type="containsText" priority="82"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83"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84" operator="containsText" id="{5D1F0C29-4DCB-4FAB-A3CE-17A3E4B54DB4}">
            <xm:f>NOT(ISERROR(SEARCH(Auxiliar!$B$16,I1080)))</xm:f>
            <xm:f>Auxiliar!$B$16</xm:f>
            <x14:dxf>
              <font>
                <b/>
                <i val="0"/>
                <color theme="7"/>
              </font>
              <fill>
                <patternFill>
                  <bgColor theme="7" tint="0.79998168889431442"/>
                </patternFill>
              </fill>
            </x14:dxf>
          </x14:cfRule>
          <xm:sqref>I1080:I1097 I1110:I1145</xm:sqref>
        </x14:conditionalFormatting>
        <x14:conditionalFormatting xmlns:xm="http://schemas.microsoft.com/office/excel/2006/main">
          <x14:cfRule type="containsText" priority="73" operator="containsText" id="{5ED364A6-7788-43B4-ABBB-E3185B87783C}">
            <xm:f>NOT(ISERROR(SEARCH(Auxiliar!$B$21,I1170)))</xm:f>
            <xm:f>Auxiliar!$B$21</xm:f>
            <x14:dxf>
              <font>
                <b/>
                <i val="0"/>
                <color rgb="FFFFC000"/>
              </font>
              <fill>
                <patternFill>
                  <bgColor theme="9" tint="0.59996337778862885"/>
                </patternFill>
              </fill>
            </x14:dxf>
          </x14:cfRule>
          <x14:cfRule type="cellIs" priority="74" operator="equal" id="{CC216F48-AEAC-42B0-BAEF-B859E88448DD}">
            <xm:f>Auxiliar!$B$24</xm:f>
            <x14:dxf>
              <font>
                <b/>
                <i val="0"/>
                <color theme="1"/>
              </font>
              <fill>
                <patternFill patternType="darkUp">
                  <bgColor theme="0"/>
                </patternFill>
              </fill>
            </x14:dxf>
          </x14:cfRule>
          <x14:cfRule type="cellIs" priority="75" operator="equal" id="{23819E92-56C5-4D3E-B9E1-67FDD9E7882C}">
            <xm:f>Auxiliar!$B$18</xm:f>
            <x14:dxf>
              <font>
                <b/>
                <i val="0"/>
                <color theme="0" tint="-0.499984740745262"/>
              </font>
              <fill>
                <patternFill>
                  <bgColor theme="0" tint="-4.9989318521683403E-2"/>
                </patternFill>
              </fill>
            </x14:dxf>
          </x14:cfRule>
          <x14:cfRule type="containsText" priority="76"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77"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78"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79" operator="containsText" id="{A0E353A4-BC40-460B-BB47-B57EC0BDDA87}">
            <xm:f>NOT(ISERROR(SEARCH(Auxiliar!$B$21,I347)))</xm:f>
            <xm:f>Auxiliar!$B$21</xm:f>
            <x14:dxf>
              <font>
                <b/>
                <i val="0"/>
                <color rgb="FFFFC000"/>
              </font>
              <fill>
                <patternFill>
                  <bgColor theme="9" tint="0.59996337778862885"/>
                </patternFill>
              </fill>
            </x14:dxf>
          </x14:cfRule>
          <xm:sqref>I1185:I1229 J1014:J1145 J1170:J1181 J1186:J1256 J1294:J1300 I1301:J1320 I1182:J1185 I1281:J1293 J1278:J1280 I1257:J1277 J1152:J1154 I1146:J1151 I1155:J1169 I347:J1013</xm:sqref>
        </x14:conditionalFormatting>
        <x14:conditionalFormatting xmlns:xm="http://schemas.microsoft.com/office/excel/2006/main">
          <x14:cfRule type="containsText" priority="121" operator="containsText" id="{818B4E3F-A611-4A6A-A815-B804D1E3C747}">
            <xm:f>NOT(ISERROR(SEARCH(Auxiliar!$B$21,I1186)))</xm:f>
            <xm:f>Auxiliar!$B$21</xm:f>
            <x14:dxf>
              <font>
                <b/>
                <i val="0"/>
                <color rgb="FFFFC000"/>
              </font>
              <fill>
                <patternFill>
                  <bgColor theme="9" tint="0.59996337778862885"/>
                </patternFill>
              </fill>
            </x14:dxf>
          </x14:cfRule>
          <x14:cfRule type="cellIs" priority="122" operator="equal" id="{49F42230-2FF0-42CE-B047-38469DF4FF91}">
            <xm:f>Auxiliar!$B$24</xm:f>
            <x14:dxf>
              <font>
                <b/>
                <i val="0"/>
                <color theme="1"/>
              </font>
              <fill>
                <patternFill patternType="darkUp">
                  <bgColor theme="0"/>
                </patternFill>
              </fill>
            </x14:dxf>
          </x14:cfRule>
          <x14:cfRule type="cellIs" priority="123" operator="equal" id="{340814F4-4DC4-4851-925E-2EA110D79ECA}">
            <xm:f>Auxiliar!$B$18</xm:f>
            <x14:dxf>
              <font>
                <b/>
                <i val="0"/>
                <color theme="0" tint="-0.499984740745262"/>
              </font>
              <fill>
                <patternFill>
                  <bgColor theme="0" tint="-4.9989318521683403E-2"/>
                </patternFill>
              </fill>
            </x14:dxf>
          </x14:cfRule>
          <x14:cfRule type="containsText" priority="124"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125"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126"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535" operator="containsText" id="{EA64DC1C-861B-48F8-9621-E598024B99B0}">
            <xm:f>NOT(ISERROR(SEARCH(Auxiliar!$B$21,I1294)))</xm:f>
            <xm:f>Auxiliar!$B$21</xm:f>
            <x14:dxf>
              <font>
                <b/>
                <i val="0"/>
                <color rgb="FFFFC000"/>
              </font>
              <fill>
                <patternFill>
                  <bgColor theme="9" tint="0.59996337778862885"/>
                </patternFill>
              </fill>
            </x14:dxf>
          </x14:cfRule>
          <x14:cfRule type="cellIs" priority="536" operator="equal" id="{839A85C4-8947-4392-8D52-FE7821AB5714}">
            <xm:f>Auxiliar!$B$24</xm:f>
            <x14:dxf>
              <font>
                <b/>
                <i val="0"/>
                <color theme="1"/>
              </font>
              <fill>
                <patternFill patternType="darkUp">
                  <bgColor theme="0"/>
                </patternFill>
              </fill>
            </x14:dxf>
          </x14:cfRule>
          <x14:cfRule type="cellIs" priority="537" operator="equal" id="{AFCEA854-203F-4E0E-9E0B-A825AA0A5D6E}">
            <xm:f>Auxiliar!$B$18</xm:f>
            <x14:dxf>
              <font>
                <b/>
                <i val="0"/>
                <color theme="0" tint="-0.499984740745262"/>
              </font>
              <fill>
                <patternFill>
                  <bgColor theme="0" tint="-4.9989318521683403E-2"/>
                </patternFill>
              </fill>
            </x14:dxf>
          </x14:cfRule>
          <x14:cfRule type="containsText" priority="538"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539"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540" operator="containsText" id="{04D6B225-779D-4593-8DEC-29BFE75B36C6}">
            <xm:f>NOT(ISERROR(SEARCH(Auxiliar!$B$16,I1294)))</xm:f>
            <xm:f>Auxiliar!$B$16</xm:f>
            <x14:dxf>
              <font>
                <b/>
                <i val="0"/>
                <color theme="7"/>
              </font>
              <fill>
                <patternFill>
                  <bgColor theme="7" tint="0.79998168889431442"/>
                </patternFill>
              </fill>
            </x14:dxf>
          </x14:cfRule>
          <xm:sqref>I1294:I1296 I1300</xm:sqref>
        </x14:conditionalFormatting>
        <x14:conditionalFormatting xmlns:xm="http://schemas.microsoft.com/office/excel/2006/main">
          <x14:cfRule type="containsText" priority="529" operator="containsText" id="{22EE3303-E871-4FDC-B876-3AC40B4BB29E}">
            <xm:f>NOT(ISERROR(SEARCH(Auxiliar!$B$21,I9)))</xm:f>
            <xm:f>Auxiliar!$B$21</xm:f>
            <x14:dxf>
              <font>
                <b/>
                <i val="0"/>
                <color rgb="FFFFC000"/>
              </font>
              <fill>
                <patternFill>
                  <bgColor theme="9" tint="0.59996337778862885"/>
                </patternFill>
              </fill>
            </x14:dxf>
          </x14:cfRule>
          <x14:cfRule type="cellIs" priority="530" operator="equal" id="{A75C795E-F66D-4DC2-A9AF-15BDCED7DA25}">
            <xm:f>Auxiliar!$B$24</xm:f>
            <x14:dxf>
              <font>
                <b/>
                <i val="0"/>
                <color theme="1"/>
              </font>
              <fill>
                <patternFill patternType="darkUp">
                  <bgColor theme="0"/>
                </patternFill>
              </fill>
            </x14:dxf>
          </x14:cfRule>
          <x14:cfRule type="cellIs" priority="531" operator="equal" id="{68C7A1CE-73C7-4D91-A2AC-1493C4E277DD}">
            <xm:f>Auxiliar!$B$18</xm:f>
            <x14:dxf>
              <font>
                <b/>
                <i val="0"/>
                <color theme="0" tint="-0.499984740745262"/>
              </font>
              <fill>
                <patternFill>
                  <bgColor theme="0" tint="-4.9989318521683403E-2"/>
                </patternFill>
              </fill>
            </x14:dxf>
          </x14:cfRule>
          <x14:cfRule type="containsText" priority="532" operator="containsText" id="{6A2CADA4-F650-4DEF-8995-04741341356E}">
            <xm:f>NOT(ISERROR(SEARCH(Auxiliar!$B$22,I9)))</xm:f>
            <xm:f>Auxiliar!$B$22</xm:f>
            <x14:dxf>
              <font>
                <b/>
                <i val="0"/>
                <color rgb="FFC00000"/>
              </font>
              <fill>
                <patternFill>
                  <bgColor theme="4" tint="0.79998168889431442"/>
                </patternFill>
              </fill>
            </x14:dxf>
          </x14:cfRule>
          <x14:cfRule type="containsText" priority="533"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534"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613" operator="containsText" id="{6928D489-0130-4A60-BE2B-1D9108B02454}">
            <xm:f>NOT(ISERROR(SEARCH(Auxiliar!$B$21,I130)))</xm:f>
            <xm:f>Auxiliar!$B$21</xm:f>
            <x14:dxf>
              <font>
                <b/>
                <i val="0"/>
                <color rgb="FFFFC000"/>
              </font>
              <fill>
                <patternFill>
                  <bgColor theme="9" tint="0.59996337778862885"/>
                </patternFill>
              </fill>
            </x14:dxf>
          </x14:cfRule>
          <x14:cfRule type="cellIs" priority="614" operator="equal" id="{E2F14AF0-878C-4184-86EE-1EC72D11FF82}">
            <xm:f>Auxiliar!$B$24</xm:f>
            <x14:dxf>
              <font>
                <b/>
                <i val="0"/>
                <color theme="1"/>
              </font>
              <fill>
                <patternFill patternType="darkUp">
                  <bgColor theme="0"/>
                </patternFill>
              </fill>
            </x14:dxf>
          </x14:cfRule>
          <x14:cfRule type="cellIs" priority="615" operator="equal" id="{662C2D77-73A6-422E-B043-D39190EAAFD3}">
            <xm:f>Auxiliar!$B$18</xm:f>
            <x14:dxf>
              <font>
                <b/>
                <i val="0"/>
                <color theme="0" tint="-0.499984740745262"/>
              </font>
              <fill>
                <patternFill>
                  <bgColor theme="0" tint="-4.9989318521683403E-2"/>
                </patternFill>
              </fill>
            </x14:dxf>
          </x14:cfRule>
          <x14:cfRule type="containsText" priority="616"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617"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618"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80" operator="equal" id="{461BEC2A-3AB6-4974-9160-0CC657CD83C0}">
            <xm:f>Auxiliar!$B$24</xm:f>
            <x14:dxf>
              <font>
                <b/>
                <i val="0"/>
                <color theme="1"/>
              </font>
              <fill>
                <patternFill patternType="darkUp">
                  <bgColor theme="0"/>
                </patternFill>
              </fill>
            </x14:dxf>
          </x14:cfRule>
          <x14:cfRule type="cellIs" priority="1147" operator="equal" id="{5CC18A3F-CC0C-4983-A19C-E91C49A3DB8A}">
            <xm:f>Auxiliar!$B$18</xm:f>
            <x14:dxf>
              <font>
                <b/>
                <i val="0"/>
                <color theme="0" tint="-0.499984740745262"/>
              </font>
              <fill>
                <patternFill>
                  <bgColor theme="0" tint="-4.9989318521683403E-2"/>
                </patternFill>
              </fill>
            </x14:dxf>
          </x14:cfRule>
          <x14:cfRule type="containsText" priority="1148"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149"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150" operator="containsText" id="{E24FE097-F3CC-4A48-80A2-F7619DECA0EF}">
            <xm:f>NOT(ISERROR(SEARCH(Auxiliar!$B$16,I347)))</xm:f>
            <xm:f>Auxiliar!$B$16</xm:f>
            <x14:dxf>
              <font>
                <b/>
                <i val="0"/>
                <color theme="7"/>
              </font>
              <fill>
                <patternFill>
                  <bgColor theme="7" tint="0.79998168889431442"/>
                </patternFill>
              </fill>
            </x14:dxf>
          </x14:cfRule>
          <xm:sqref>J1014:J1145 J1170:J1181 I1185:I1229 J1186:J1256 J1294:J1300 I1301:J1320 I1182:J1185 I1281:J1293 J1278:J1280 I1257:J1277 J1152:J1154 I1146:J1151 I1155:J1169 I347:J1013</xm:sqref>
        </x14:conditionalFormatting>
        <x14:conditionalFormatting xmlns:xm="http://schemas.microsoft.com/office/excel/2006/main">
          <x14:cfRule type="containsText" priority="505" operator="containsText" id="{B9BA2292-98F1-4845-8262-A781D9352444}">
            <xm:f>NOT(ISERROR(SEARCH(Auxiliar!$B$21,J127)))</xm:f>
            <xm:f>Auxiliar!$B$21</xm:f>
            <x14:dxf>
              <font>
                <b/>
                <i val="0"/>
                <color rgb="FFFFC000"/>
              </font>
              <fill>
                <patternFill>
                  <bgColor theme="9" tint="0.59996337778862885"/>
                </patternFill>
              </fill>
            </x14:dxf>
          </x14:cfRule>
          <x14:cfRule type="cellIs" priority="506" operator="equal" id="{D32B9961-C82B-426A-A975-2475FFC80C76}">
            <xm:f>Auxiliar!$B$24</xm:f>
            <x14:dxf>
              <font>
                <b/>
                <i val="0"/>
                <color theme="1"/>
              </font>
              <fill>
                <patternFill patternType="darkUp">
                  <bgColor theme="0"/>
                </patternFill>
              </fill>
            </x14:dxf>
          </x14:cfRule>
          <x14:cfRule type="cellIs" priority="507" operator="equal" id="{EE9F5D7D-A515-4B4F-859E-E804329C9CE0}">
            <xm:f>Auxiliar!$B$18</xm:f>
            <x14:dxf>
              <font>
                <b/>
                <i val="0"/>
                <color theme="0" tint="-0.499984740745262"/>
              </font>
              <fill>
                <patternFill>
                  <bgColor theme="0" tint="-4.9989318521683403E-2"/>
                </patternFill>
              </fill>
            </x14:dxf>
          </x14:cfRule>
          <x14:cfRule type="containsText" priority="508"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509"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510"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631" operator="containsText" id="{576165AC-18FE-49D8-90D0-249BF5B7AAD2}">
            <xm:f>NOT(ISERROR(SEARCH(Auxiliar!$B$21,J326)))</xm:f>
            <xm:f>Auxiliar!$B$21</xm:f>
            <x14:dxf>
              <font>
                <b/>
                <i val="0"/>
                <color rgb="FFFFC000"/>
              </font>
              <fill>
                <patternFill>
                  <bgColor theme="9" tint="0.59996337778862885"/>
                </patternFill>
              </fill>
            </x14:dxf>
          </x14:cfRule>
          <x14:cfRule type="cellIs" priority="632" operator="equal" id="{2BEF1854-999B-428C-B198-117A6D75B6CF}">
            <xm:f>Auxiliar!$B$24</xm:f>
            <x14:dxf>
              <font>
                <b/>
                <i val="0"/>
                <color theme="1"/>
              </font>
              <fill>
                <patternFill patternType="darkUp">
                  <bgColor theme="0"/>
                </patternFill>
              </fill>
            </x14:dxf>
          </x14:cfRule>
          <x14:cfRule type="cellIs" priority="633" operator="equal" id="{82150E9C-7DB3-4C92-B25A-09099C09088C}">
            <xm:f>Auxiliar!$B$18</xm:f>
            <x14:dxf>
              <font>
                <b/>
                <i val="0"/>
                <color theme="0" tint="-0.499984740745262"/>
              </font>
              <fill>
                <patternFill>
                  <bgColor theme="0" tint="-4.9989318521683403E-2"/>
                </patternFill>
              </fill>
            </x14:dxf>
          </x14:cfRule>
          <x14:cfRule type="containsText" priority="634"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635"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636"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67" operator="containsText" id="{DF181235-FA9E-40EA-A648-292B48022DA0}">
            <xm:f>NOT(ISERROR(SEARCH(Auxiliar!$B$21,I1278)))</xm:f>
            <xm:f>Auxiliar!$B$21</xm:f>
            <x14:dxf>
              <font>
                <b/>
                <i val="0"/>
                <color rgb="FFFFC000"/>
              </font>
              <fill>
                <patternFill>
                  <bgColor theme="9" tint="0.59996337778862885"/>
                </patternFill>
              </fill>
            </x14:dxf>
          </x14:cfRule>
          <x14:cfRule type="cellIs" priority="68" operator="equal" id="{9C7C6505-25DE-4647-8F2A-4962829050E1}">
            <xm:f>Auxiliar!$B$24</xm:f>
            <x14:dxf>
              <font>
                <b/>
                <i val="0"/>
                <color theme="1"/>
              </font>
              <fill>
                <patternFill patternType="darkUp">
                  <bgColor theme="0"/>
                </patternFill>
              </fill>
            </x14:dxf>
          </x14:cfRule>
          <x14:cfRule type="cellIs" priority="69" operator="equal" id="{3CFB144F-84F5-4773-AE43-EF621B2D2154}">
            <xm:f>Auxiliar!$B$18</xm:f>
            <x14:dxf>
              <font>
                <b/>
                <i val="0"/>
                <color theme="0" tint="-0.499984740745262"/>
              </font>
              <fill>
                <patternFill>
                  <bgColor theme="0" tint="-4.9989318521683403E-2"/>
                </patternFill>
              </fill>
            </x14:dxf>
          </x14:cfRule>
          <x14:cfRule type="containsText" priority="70" operator="containsText" id="{0A42159F-6CA5-47EA-8D39-3C8D3A129086}">
            <xm:f>NOT(ISERROR(SEARCH(Auxiliar!$B$22,I1278)))</xm:f>
            <xm:f>Auxiliar!$B$22</xm:f>
            <x14:dxf>
              <font>
                <b/>
                <i val="0"/>
                <color rgb="FFC00000"/>
              </font>
              <fill>
                <patternFill>
                  <bgColor theme="4" tint="0.79998168889431442"/>
                </patternFill>
              </fill>
            </x14:dxf>
          </x14:cfRule>
          <x14:cfRule type="containsText" priority="71" operator="containsText" id="{5A58F008-0DFB-4FE4-B344-E402BDA2C837}">
            <xm:f>NOT(ISERROR(SEARCH(Auxiliar!$B$19,I1278)))</xm:f>
            <xm:f>Auxiliar!$B$19</xm:f>
            <x14:dxf>
              <font>
                <b/>
                <i val="0"/>
                <color theme="9" tint="-0.499984740745262"/>
              </font>
              <fill>
                <patternFill>
                  <bgColor theme="9" tint="0.79998168889431442"/>
                </patternFill>
              </fill>
            </x14:dxf>
          </x14:cfRule>
          <x14:cfRule type="containsText" priority="72" operator="containsText" id="{DF74522A-C0D5-4C88-9207-BE75C4C8DE4E}">
            <xm:f>NOT(ISERROR(SEARCH(Auxiliar!$B$16,I1278)))</xm:f>
            <xm:f>Auxiliar!$B$16</xm:f>
            <x14:dxf>
              <font>
                <b/>
                <i val="0"/>
                <color theme="7"/>
              </font>
              <fill>
                <patternFill>
                  <bgColor theme="7" tint="0.79998168889431442"/>
                </patternFill>
              </fill>
            </x14:dxf>
          </x14:cfRule>
          <xm:sqref>I1278:I1280</xm:sqref>
        </x14:conditionalFormatting>
        <x14:conditionalFormatting xmlns:xm="http://schemas.microsoft.com/office/excel/2006/main">
          <x14:cfRule type="containsText" priority="61" operator="containsText" id="{823160F8-9997-4794-9B4E-C576A6FE222D}">
            <xm:f>NOT(ISERROR(SEARCH(Auxiliar!$B$21,I326)))</xm:f>
            <xm:f>Auxiliar!$B$21</xm:f>
            <x14:dxf>
              <font>
                <b/>
                <i val="0"/>
                <color rgb="FFFFC000"/>
              </font>
              <fill>
                <patternFill>
                  <bgColor theme="9" tint="0.59996337778862885"/>
                </patternFill>
              </fill>
            </x14:dxf>
          </x14:cfRule>
          <x14:cfRule type="cellIs" priority="62" operator="equal" id="{C1156D3F-4924-4518-B96A-5B9AA8B5BE50}">
            <xm:f>Auxiliar!$B$24</xm:f>
            <x14:dxf>
              <font>
                <b/>
                <i val="0"/>
                <color theme="1"/>
              </font>
              <fill>
                <patternFill patternType="darkUp">
                  <bgColor theme="0"/>
                </patternFill>
              </fill>
            </x14:dxf>
          </x14:cfRule>
          <x14:cfRule type="cellIs" priority="63" operator="equal" id="{BD765773-A292-448A-90DA-70399168E638}">
            <xm:f>Auxiliar!$B$18</xm:f>
            <x14:dxf>
              <font>
                <b/>
                <i val="0"/>
                <color theme="0" tint="-0.499984740745262"/>
              </font>
              <fill>
                <patternFill>
                  <bgColor theme="0" tint="-4.9989318521683403E-2"/>
                </patternFill>
              </fill>
            </x14:dxf>
          </x14:cfRule>
          <x14:cfRule type="containsText" priority="64"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65"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66" operator="containsText" id="{83ADEF97-2D81-44D6-8483-B2AB1130B3D0}">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55" operator="containsText" id="{2C9A8ECC-40D2-4BF8-9013-94EF4681BA37}">
            <xm:f>NOT(ISERROR(SEARCH(Auxiliar!$B$21,I1074)))</xm:f>
            <xm:f>Auxiliar!$B$21</xm:f>
            <x14:dxf>
              <font>
                <b/>
                <i val="0"/>
                <color rgb="FFFFC000"/>
              </font>
              <fill>
                <patternFill>
                  <bgColor theme="9" tint="0.59996337778862885"/>
                </patternFill>
              </fill>
            </x14:dxf>
          </x14:cfRule>
          <x14:cfRule type="cellIs" priority="56" operator="equal" id="{59A9144D-6CCA-4414-829D-6E250F57C9C1}">
            <xm:f>Auxiliar!$B$24</xm:f>
            <x14:dxf>
              <font>
                <b/>
                <i val="0"/>
                <color theme="1"/>
              </font>
              <fill>
                <patternFill patternType="darkUp">
                  <bgColor theme="0"/>
                </patternFill>
              </fill>
            </x14:dxf>
          </x14:cfRule>
          <x14:cfRule type="cellIs" priority="57" operator="equal" id="{E214B4E9-46D7-4587-9E1C-3B66F94D73F5}">
            <xm:f>Auxiliar!$B$18</xm:f>
            <x14:dxf>
              <font>
                <b/>
                <i val="0"/>
                <color theme="0" tint="-0.499984740745262"/>
              </font>
              <fill>
                <patternFill>
                  <bgColor theme="0" tint="-4.9989318521683403E-2"/>
                </patternFill>
              </fill>
            </x14:dxf>
          </x14:cfRule>
          <x14:cfRule type="containsText" priority="58" operator="containsText" id="{E34DF700-1CC5-49B0-95AC-09D0DD9766F5}">
            <xm:f>NOT(ISERROR(SEARCH(Auxiliar!$B$22,I1074)))</xm:f>
            <xm:f>Auxiliar!$B$22</xm:f>
            <x14:dxf>
              <font>
                <b/>
                <i val="0"/>
                <color rgb="FFC00000"/>
              </font>
              <fill>
                <patternFill>
                  <bgColor theme="4" tint="0.79998168889431442"/>
                </patternFill>
              </fill>
            </x14:dxf>
          </x14:cfRule>
          <x14:cfRule type="containsText" priority="59" operator="containsText" id="{33E2FE36-9E3B-4AEA-A113-912502D1B3F8}">
            <xm:f>NOT(ISERROR(SEARCH(Auxiliar!$B$19,I1074)))</xm:f>
            <xm:f>Auxiliar!$B$19</xm:f>
            <x14:dxf>
              <font>
                <b/>
                <i val="0"/>
                <color theme="9" tint="-0.499984740745262"/>
              </font>
              <fill>
                <patternFill>
                  <bgColor theme="9" tint="0.79998168889431442"/>
                </patternFill>
              </fill>
            </x14:dxf>
          </x14:cfRule>
          <x14:cfRule type="containsText" priority="60" operator="containsText" id="{2520360D-6E71-4B8B-92CF-72B06A5A18D8}">
            <xm:f>NOT(ISERROR(SEARCH(Auxiliar!$B$16,I1074)))</xm:f>
            <xm:f>Auxiliar!$B$16</xm:f>
            <x14:dxf>
              <font>
                <b/>
                <i val="0"/>
                <color theme="7"/>
              </font>
              <fill>
                <patternFill>
                  <bgColor theme="7" tint="0.79998168889431442"/>
                </patternFill>
              </fill>
            </x14:dxf>
          </x14:cfRule>
          <xm:sqref>I1098:I1100 I1074:I1079</xm:sqref>
        </x14:conditionalFormatting>
        <x14:conditionalFormatting xmlns:xm="http://schemas.microsoft.com/office/excel/2006/main">
          <x14:cfRule type="containsText" priority="49" operator="containsText" id="{95C8CC35-B63E-4B6E-978B-89C7B3BB0D0F}">
            <xm:f>NOT(ISERROR(SEARCH(Auxiliar!$B$21,I1298)))</xm:f>
            <xm:f>Auxiliar!$B$21</xm:f>
            <x14:dxf>
              <font>
                <b/>
                <i val="0"/>
                <color rgb="FFFFC000"/>
              </font>
              <fill>
                <patternFill>
                  <bgColor theme="9" tint="0.59996337778862885"/>
                </patternFill>
              </fill>
            </x14:dxf>
          </x14:cfRule>
          <x14:cfRule type="cellIs" priority="50" operator="equal" id="{2CF4FBE2-212B-4B8E-A4FF-359DE385C765}">
            <xm:f>Auxiliar!$B$24</xm:f>
            <x14:dxf>
              <font>
                <b/>
                <i val="0"/>
                <color theme="1"/>
              </font>
              <fill>
                <patternFill patternType="darkUp">
                  <bgColor theme="0"/>
                </patternFill>
              </fill>
            </x14:dxf>
          </x14:cfRule>
          <x14:cfRule type="cellIs" priority="51" operator="equal" id="{DFAEB673-DE6E-4608-B609-F2F737B60C9A}">
            <xm:f>Auxiliar!$B$18</xm:f>
            <x14:dxf>
              <font>
                <b/>
                <i val="0"/>
                <color theme="0" tint="-0.499984740745262"/>
              </font>
              <fill>
                <patternFill>
                  <bgColor theme="0" tint="-4.9989318521683403E-2"/>
                </patternFill>
              </fill>
            </x14:dxf>
          </x14:cfRule>
          <x14:cfRule type="containsText" priority="52" operator="containsText" id="{4F0CE456-5F76-4B3C-B3AB-A49838976662}">
            <xm:f>NOT(ISERROR(SEARCH(Auxiliar!$B$22,I1298)))</xm:f>
            <xm:f>Auxiliar!$B$22</xm:f>
            <x14:dxf>
              <font>
                <b/>
                <i val="0"/>
                <color rgb="FFC00000"/>
              </font>
              <fill>
                <patternFill>
                  <bgColor theme="4" tint="0.79998168889431442"/>
                </patternFill>
              </fill>
            </x14:dxf>
          </x14:cfRule>
          <x14:cfRule type="containsText" priority="53" operator="containsText" id="{24FCCA02-CA0E-45A7-B9A8-AE3F9B950333}">
            <xm:f>NOT(ISERROR(SEARCH(Auxiliar!$B$19,I1298)))</xm:f>
            <xm:f>Auxiliar!$B$19</xm:f>
            <x14:dxf>
              <font>
                <b/>
                <i val="0"/>
                <color theme="9" tint="-0.499984740745262"/>
              </font>
              <fill>
                <patternFill>
                  <bgColor theme="9" tint="0.79998168889431442"/>
                </patternFill>
              </fill>
            </x14:dxf>
          </x14:cfRule>
          <x14:cfRule type="containsText" priority="54" operator="containsText" id="{6141A62C-659B-4A19-9663-DFF6F5A7812C}">
            <xm:f>NOT(ISERROR(SEARCH(Auxiliar!$B$16,I1298)))</xm:f>
            <xm:f>Auxiliar!$B$16</xm:f>
            <x14:dxf>
              <font>
                <b/>
                <i val="0"/>
                <color theme="7"/>
              </font>
              <fill>
                <patternFill>
                  <bgColor theme="7" tint="0.79998168889431442"/>
                </patternFill>
              </fill>
            </x14:dxf>
          </x14:cfRule>
          <xm:sqref>I1298</xm:sqref>
        </x14:conditionalFormatting>
        <x14:conditionalFormatting xmlns:xm="http://schemas.microsoft.com/office/excel/2006/main">
          <x14:cfRule type="containsText" priority="31" operator="containsText" id="{670F9BD4-6E72-4C8A-9DE6-6D760ABE2EF2}">
            <xm:f>NOT(ISERROR(SEARCH(Auxiliar!$B$21,I1152)))</xm:f>
            <xm:f>Auxiliar!$B$21</xm:f>
            <x14:dxf>
              <font>
                <b/>
                <i val="0"/>
                <color rgb="FFFFC000"/>
              </font>
              <fill>
                <patternFill>
                  <bgColor theme="9" tint="0.59996337778862885"/>
                </patternFill>
              </fill>
            </x14:dxf>
          </x14:cfRule>
          <x14:cfRule type="cellIs" priority="32" operator="equal" id="{A21A7634-FA0B-4602-AFC1-02F4105C6810}">
            <xm:f>Auxiliar!$B$24</xm:f>
            <x14:dxf>
              <font>
                <b/>
                <i val="0"/>
                <color theme="1"/>
              </font>
              <fill>
                <patternFill patternType="darkUp">
                  <bgColor theme="0"/>
                </patternFill>
              </fill>
            </x14:dxf>
          </x14:cfRule>
          <x14:cfRule type="cellIs" priority="33" operator="equal" id="{6FE9802C-F381-43CA-A21F-54F14A81F8B2}">
            <xm:f>Auxiliar!$B$18</xm:f>
            <x14:dxf>
              <font>
                <b/>
                <i val="0"/>
                <color theme="0" tint="-0.499984740745262"/>
              </font>
              <fill>
                <patternFill>
                  <bgColor theme="0" tint="-4.9989318521683403E-2"/>
                </patternFill>
              </fill>
            </x14:dxf>
          </x14:cfRule>
          <x14:cfRule type="containsText" priority="34" operator="containsText" id="{3F557497-5FC7-4369-843E-84988C61F081}">
            <xm:f>NOT(ISERROR(SEARCH(Auxiliar!$B$22,I1152)))</xm:f>
            <xm:f>Auxiliar!$B$22</xm:f>
            <x14:dxf>
              <font>
                <b/>
                <i val="0"/>
                <color rgb="FFC00000"/>
              </font>
              <fill>
                <patternFill>
                  <bgColor theme="4" tint="0.79998168889431442"/>
                </patternFill>
              </fill>
            </x14:dxf>
          </x14:cfRule>
          <x14:cfRule type="containsText" priority="35" operator="containsText" id="{268E68D1-CAFE-4DB2-86A7-B86374BA2AC6}">
            <xm:f>NOT(ISERROR(SEARCH(Auxiliar!$B$19,I1152)))</xm:f>
            <xm:f>Auxiliar!$B$19</xm:f>
            <x14:dxf>
              <font>
                <b/>
                <i val="0"/>
                <color theme="9" tint="-0.499984740745262"/>
              </font>
              <fill>
                <patternFill>
                  <bgColor theme="9" tint="0.79998168889431442"/>
                </patternFill>
              </fill>
            </x14:dxf>
          </x14:cfRule>
          <x14:cfRule type="containsText" priority="36" operator="containsText" id="{36383A9E-1DBC-409A-B9CC-1EFA73D81E81}">
            <xm:f>NOT(ISERROR(SEARCH(Auxiliar!$B$16,I1152)))</xm:f>
            <xm:f>Auxiliar!$B$16</xm:f>
            <x14:dxf>
              <font>
                <b/>
                <i val="0"/>
                <color theme="7"/>
              </font>
              <fill>
                <patternFill>
                  <bgColor theme="7" tint="0.79998168889431442"/>
                </patternFill>
              </fill>
            </x14:dxf>
          </x14:cfRule>
          <xm:sqref>I1152</xm:sqref>
        </x14:conditionalFormatting>
        <x14:conditionalFormatting xmlns:xm="http://schemas.microsoft.com/office/excel/2006/main">
          <x14:cfRule type="containsText" priority="25" operator="containsText" id="{6142BEC0-530B-491C-A9B0-54D3FDEFA333}">
            <xm:f>NOT(ISERROR(SEARCH(Auxiliar!$B$21,I1153)))</xm:f>
            <xm:f>Auxiliar!$B$21</xm:f>
            <x14:dxf>
              <font>
                <b/>
                <i val="0"/>
                <color rgb="FFFFC000"/>
              </font>
              <fill>
                <patternFill>
                  <bgColor theme="9" tint="0.59996337778862885"/>
                </patternFill>
              </fill>
            </x14:dxf>
          </x14:cfRule>
          <x14:cfRule type="cellIs" priority="26" operator="equal" id="{358F6D0A-F9F7-465B-A1B9-1F10C2092035}">
            <xm:f>Auxiliar!$B$24</xm:f>
            <x14:dxf>
              <font>
                <b/>
                <i val="0"/>
                <color theme="1"/>
              </font>
              <fill>
                <patternFill patternType="darkUp">
                  <bgColor theme="0"/>
                </patternFill>
              </fill>
            </x14:dxf>
          </x14:cfRule>
          <x14:cfRule type="cellIs" priority="27" operator="equal" id="{0F0BF42A-65A3-4A1C-A9D9-C3D22AEF3526}">
            <xm:f>Auxiliar!$B$18</xm:f>
            <x14:dxf>
              <font>
                <b/>
                <i val="0"/>
                <color theme="0" tint="-0.499984740745262"/>
              </font>
              <fill>
                <patternFill>
                  <bgColor theme="0" tint="-4.9989318521683403E-2"/>
                </patternFill>
              </fill>
            </x14:dxf>
          </x14:cfRule>
          <x14:cfRule type="containsText" priority="28" operator="containsText" id="{AB275E1F-B651-4730-8321-08DD63466F62}">
            <xm:f>NOT(ISERROR(SEARCH(Auxiliar!$B$22,I1153)))</xm:f>
            <xm:f>Auxiliar!$B$22</xm:f>
            <x14:dxf>
              <font>
                <b/>
                <i val="0"/>
                <color rgb="FFC00000"/>
              </font>
              <fill>
                <patternFill>
                  <bgColor theme="4" tint="0.79998168889431442"/>
                </patternFill>
              </fill>
            </x14:dxf>
          </x14:cfRule>
          <x14:cfRule type="containsText" priority="29" operator="containsText" id="{6108E5DA-0A6D-46D4-AB08-0967CF535CB3}">
            <xm:f>NOT(ISERROR(SEARCH(Auxiliar!$B$19,I1153)))</xm:f>
            <xm:f>Auxiliar!$B$19</xm:f>
            <x14:dxf>
              <font>
                <b/>
                <i val="0"/>
                <color theme="9" tint="-0.499984740745262"/>
              </font>
              <fill>
                <patternFill>
                  <bgColor theme="9" tint="0.79998168889431442"/>
                </patternFill>
              </fill>
            </x14:dxf>
          </x14:cfRule>
          <x14:cfRule type="containsText" priority="30" operator="containsText" id="{26B8B3B0-7C1C-4390-8CA5-1A701CAA1D5E}">
            <xm:f>NOT(ISERROR(SEARCH(Auxiliar!$B$16,I1153)))</xm:f>
            <xm:f>Auxiliar!$B$16</xm:f>
            <x14:dxf>
              <font>
                <b/>
                <i val="0"/>
                <color theme="7"/>
              </font>
              <fill>
                <patternFill>
                  <bgColor theme="7" tint="0.79998168889431442"/>
                </patternFill>
              </fill>
            </x14:dxf>
          </x14:cfRule>
          <xm:sqref>I1153:I1154</xm:sqref>
        </x14:conditionalFormatting>
        <x14:conditionalFormatting xmlns:xm="http://schemas.microsoft.com/office/excel/2006/main">
          <x14:cfRule type="containsText" priority="19" operator="containsText" id="{41D9C7DC-0343-4880-92C3-E9E5E74035D0}">
            <xm:f>NOT(ISERROR(SEARCH(Auxiliar!$B$21,I1299)))</xm:f>
            <xm:f>Auxiliar!$B$21</xm:f>
            <x14:dxf>
              <font>
                <b/>
                <i val="0"/>
                <color rgb="FFFFC000"/>
              </font>
              <fill>
                <patternFill>
                  <bgColor theme="9" tint="0.59996337778862885"/>
                </patternFill>
              </fill>
            </x14:dxf>
          </x14:cfRule>
          <x14:cfRule type="cellIs" priority="20" operator="equal" id="{1312F701-7E73-45EE-AB28-2D9E99DC8EF2}">
            <xm:f>Auxiliar!$B$24</xm:f>
            <x14:dxf>
              <font>
                <b/>
                <i val="0"/>
                <color theme="1"/>
              </font>
              <fill>
                <patternFill patternType="darkUp">
                  <bgColor theme="0"/>
                </patternFill>
              </fill>
            </x14:dxf>
          </x14:cfRule>
          <x14:cfRule type="cellIs" priority="21" operator="equal" id="{D2E876AF-8F02-4700-85A4-0261345B6B8E}">
            <xm:f>Auxiliar!$B$18</xm:f>
            <x14:dxf>
              <font>
                <b/>
                <i val="0"/>
                <color theme="0" tint="-0.499984740745262"/>
              </font>
              <fill>
                <patternFill>
                  <bgColor theme="0" tint="-4.9989318521683403E-2"/>
                </patternFill>
              </fill>
            </x14:dxf>
          </x14:cfRule>
          <x14:cfRule type="containsText" priority="22" operator="containsText" id="{7A9B92B3-1F4F-4AF2-915D-9BF9328E602D}">
            <xm:f>NOT(ISERROR(SEARCH(Auxiliar!$B$22,I1299)))</xm:f>
            <xm:f>Auxiliar!$B$22</xm:f>
            <x14:dxf>
              <font>
                <b/>
                <i val="0"/>
                <color rgb="FFC00000"/>
              </font>
              <fill>
                <patternFill>
                  <bgColor theme="4" tint="0.79998168889431442"/>
                </patternFill>
              </fill>
            </x14:dxf>
          </x14:cfRule>
          <x14:cfRule type="containsText" priority="23" operator="containsText" id="{21659B19-9605-4A88-B735-022CDBEDA910}">
            <xm:f>NOT(ISERROR(SEARCH(Auxiliar!$B$19,I1299)))</xm:f>
            <xm:f>Auxiliar!$B$19</xm:f>
            <x14:dxf>
              <font>
                <b/>
                <i val="0"/>
                <color theme="9" tint="-0.499984740745262"/>
              </font>
              <fill>
                <patternFill>
                  <bgColor theme="9" tint="0.79998168889431442"/>
                </patternFill>
              </fill>
            </x14:dxf>
          </x14:cfRule>
          <x14:cfRule type="containsText" priority="24" operator="containsText" id="{400C445E-1A34-4FCD-9B79-6D519EC39E7E}">
            <xm:f>NOT(ISERROR(SEARCH(Auxiliar!$B$16,I1299)))</xm:f>
            <xm:f>Auxiliar!$B$16</xm:f>
            <x14:dxf>
              <font>
                <b/>
                <i val="0"/>
                <color theme="7"/>
              </font>
              <fill>
                <patternFill>
                  <bgColor theme="7" tint="0.79998168889431442"/>
                </patternFill>
              </fill>
            </x14:dxf>
          </x14:cfRule>
          <xm:sqref>I1299</xm:sqref>
        </x14:conditionalFormatting>
        <x14:conditionalFormatting xmlns:xm="http://schemas.microsoft.com/office/excel/2006/main">
          <x14:cfRule type="containsText" priority="13" operator="containsText" id="{2894A03C-3E5F-44BE-8B6E-722E39F9710E}">
            <xm:f>NOT(ISERROR(SEARCH(Auxiliar!$B$21,I1297)))</xm:f>
            <xm:f>Auxiliar!$B$21</xm:f>
            <x14:dxf>
              <font>
                <b/>
                <i val="0"/>
                <color rgb="FFFFC000"/>
              </font>
              <fill>
                <patternFill>
                  <bgColor theme="9" tint="0.59996337778862885"/>
                </patternFill>
              </fill>
            </x14:dxf>
          </x14:cfRule>
          <x14:cfRule type="cellIs" priority="14" operator="equal" id="{EB5D0CD7-AEBB-44EB-B1FA-46E6B515B772}">
            <xm:f>Auxiliar!$B$24</xm:f>
            <x14:dxf>
              <font>
                <b/>
                <i val="0"/>
                <color theme="1"/>
              </font>
              <fill>
                <patternFill patternType="darkUp">
                  <bgColor theme="0"/>
                </patternFill>
              </fill>
            </x14:dxf>
          </x14:cfRule>
          <x14:cfRule type="cellIs" priority="15" operator="equal" id="{71888C3E-3039-46F4-B52E-38A7B2E9EBE7}">
            <xm:f>Auxiliar!$B$18</xm:f>
            <x14:dxf>
              <font>
                <b/>
                <i val="0"/>
                <color theme="0" tint="-0.499984740745262"/>
              </font>
              <fill>
                <patternFill>
                  <bgColor theme="0" tint="-4.9989318521683403E-2"/>
                </patternFill>
              </fill>
            </x14:dxf>
          </x14:cfRule>
          <x14:cfRule type="containsText" priority="16" operator="containsText" id="{E06D4046-F08F-4120-941B-B0477FD33D17}">
            <xm:f>NOT(ISERROR(SEARCH(Auxiliar!$B$22,I1297)))</xm:f>
            <xm:f>Auxiliar!$B$22</xm:f>
            <x14:dxf>
              <font>
                <b/>
                <i val="0"/>
                <color rgb="FFC00000"/>
              </font>
              <fill>
                <patternFill>
                  <bgColor theme="4" tint="0.79998168889431442"/>
                </patternFill>
              </fill>
            </x14:dxf>
          </x14:cfRule>
          <x14:cfRule type="containsText" priority="17" operator="containsText" id="{15423AE7-3867-4E7E-A4F6-E0615B5BC45B}">
            <xm:f>NOT(ISERROR(SEARCH(Auxiliar!$B$19,I1297)))</xm:f>
            <xm:f>Auxiliar!$B$19</xm:f>
            <x14:dxf>
              <font>
                <b/>
                <i val="0"/>
                <color theme="9" tint="-0.499984740745262"/>
              </font>
              <fill>
                <patternFill>
                  <bgColor theme="9" tint="0.79998168889431442"/>
                </patternFill>
              </fill>
            </x14:dxf>
          </x14:cfRule>
          <x14:cfRule type="containsText" priority="18" operator="containsText" id="{EA7B4AB5-08EC-4F26-8A35-523E69125988}">
            <xm:f>NOT(ISERROR(SEARCH(Auxiliar!$B$16,I1297)))</xm:f>
            <xm:f>Auxiliar!$B$16</xm:f>
            <x14:dxf>
              <font>
                <b/>
                <i val="0"/>
                <color theme="7"/>
              </font>
              <fill>
                <patternFill>
                  <bgColor theme="7" tint="0.79998168889431442"/>
                </patternFill>
              </fill>
            </x14:dxf>
          </x14:cfRule>
          <xm:sqref>I1297</xm:sqref>
        </x14:conditionalFormatting>
        <x14:conditionalFormatting xmlns:xm="http://schemas.microsoft.com/office/excel/2006/main">
          <x14:cfRule type="containsText" priority="1" operator="containsText" id="{E3BB2710-C741-4DF5-8D19-1B415C19CE71}">
            <xm:f>NOT(ISERROR(SEARCH(Auxiliar!$B$21,I1101)))</xm:f>
            <xm:f>Auxiliar!$B$21</xm:f>
            <x14:dxf>
              <font>
                <b/>
                <i val="0"/>
                <color rgb="FFFFC000"/>
              </font>
              <fill>
                <patternFill>
                  <bgColor theme="9" tint="0.59996337778862885"/>
                </patternFill>
              </fill>
            </x14:dxf>
          </x14:cfRule>
          <x14:cfRule type="cellIs" priority="2" operator="equal" id="{0B3DA3C8-A704-493D-B3A5-F25FEE5B8F3C}">
            <xm:f>Auxiliar!$B$24</xm:f>
            <x14:dxf>
              <font>
                <b/>
                <i val="0"/>
                <color theme="1"/>
              </font>
              <fill>
                <patternFill patternType="darkUp">
                  <bgColor theme="0"/>
                </patternFill>
              </fill>
            </x14:dxf>
          </x14:cfRule>
          <x14:cfRule type="cellIs" priority="3" operator="equal" id="{126B789A-B4AA-48A3-9BA6-9AEFBDA12DBB}">
            <xm:f>Auxiliar!$B$18</xm:f>
            <x14:dxf>
              <font>
                <b/>
                <i val="0"/>
                <color theme="0" tint="-0.499984740745262"/>
              </font>
              <fill>
                <patternFill>
                  <bgColor theme="0" tint="-4.9989318521683403E-2"/>
                </patternFill>
              </fill>
            </x14:dxf>
          </x14:cfRule>
          <x14:cfRule type="containsText" priority="4" operator="containsText" id="{388E322F-83D3-4274-BB6D-D4B938523A2C}">
            <xm:f>NOT(ISERROR(SEARCH(Auxiliar!$B$22,I1101)))</xm:f>
            <xm:f>Auxiliar!$B$22</xm:f>
            <x14:dxf>
              <font>
                <b/>
                <i val="0"/>
                <color rgb="FFC00000"/>
              </font>
              <fill>
                <patternFill>
                  <bgColor theme="4" tint="0.79998168889431442"/>
                </patternFill>
              </fill>
            </x14:dxf>
          </x14:cfRule>
          <x14:cfRule type="containsText" priority="5" operator="containsText" id="{E2642AA8-541C-4663-8184-7A99020AC5CA}">
            <xm:f>NOT(ISERROR(SEARCH(Auxiliar!$B$19,I1101)))</xm:f>
            <xm:f>Auxiliar!$B$19</xm:f>
            <x14:dxf>
              <font>
                <b/>
                <i val="0"/>
                <color theme="9" tint="-0.499984740745262"/>
              </font>
              <fill>
                <patternFill>
                  <bgColor theme="9" tint="0.79998168889431442"/>
                </patternFill>
              </fill>
            </x14:dxf>
          </x14:cfRule>
          <x14:cfRule type="containsText" priority="6" operator="containsText" id="{C51B6767-566A-4856-BF48-9F9941D8CCE2}">
            <xm:f>NOT(ISERROR(SEARCH(Auxiliar!$B$16,I1101)))</xm:f>
            <xm:f>Auxiliar!$B$16</xm:f>
            <x14:dxf>
              <font>
                <b/>
                <i val="0"/>
                <color theme="7"/>
              </font>
              <fill>
                <patternFill>
                  <bgColor theme="7" tint="0.79998168889431442"/>
                </patternFill>
              </fill>
            </x14:dxf>
          </x14:cfRule>
          <xm:sqref>I1101:I1109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1360</v>
      </c>
      <c r="B1" s="14" t="s">
        <v>1361</v>
      </c>
      <c r="C1" s="14" t="s">
        <v>1362</v>
      </c>
      <c r="D1" s="14" t="s">
        <v>1363</v>
      </c>
      <c r="E1" s="14" t="s">
        <v>1364</v>
      </c>
      <c r="F1" s="14" t="s">
        <v>1365</v>
      </c>
      <c r="G1" s="14" t="s">
        <v>1366</v>
      </c>
      <c r="H1" s="14" t="s">
        <v>1367</v>
      </c>
      <c r="I1" s="14" t="s">
        <v>1368</v>
      </c>
      <c r="J1" s="14" t="s">
        <v>1369</v>
      </c>
      <c r="K1" s="14" t="s">
        <v>1370</v>
      </c>
    </row>
    <row r="2" spans="1:11">
      <c r="A2" s="16" t="str">
        <f>VLOOKUP(E2,Table1[[#All],[Campo]],1,0)</f>
        <v>cod_soc</v>
      </c>
      <c r="B2" s="14" t="s">
        <v>1371</v>
      </c>
      <c r="C2" s="14" t="s">
        <v>1372</v>
      </c>
      <c r="D2" s="14" t="s">
        <v>1373</v>
      </c>
      <c r="E2" s="14" t="s">
        <v>1374</v>
      </c>
      <c r="F2" s="14" t="s">
        <v>1375</v>
      </c>
      <c r="G2" s="14" t="s">
        <v>1376</v>
      </c>
      <c r="H2" s="14" t="s">
        <v>623</v>
      </c>
      <c r="I2" s="14">
        <v>1096295</v>
      </c>
      <c r="J2" s="14">
        <v>0</v>
      </c>
      <c r="K2" s="14">
        <v>0</v>
      </c>
    </row>
    <row r="3" spans="1:11">
      <c r="A3" s="16" t="str">
        <f>VLOOKUP(E3,Table1[[#All],[Campo]],1,0)</f>
        <v>dt_rfrnc</v>
      </c>
      <c r="B3" s="14" t="s">
        <v>1377</v>
      </c>
      <c r="C3" s="14" t="s">
        <v>1378</v>
      </c>
      <c r="D3" s="14" t="s">
        <v>1373</v>
      </c>
      <c r="E3" s="14" t="s">
        <v>1379</v>
      </c>
      <c r="F3" s="14" t="s">
        <v>1380</v>
      </c>
      <c r="G3" s="14" t="s">
        <v>1376</v>
      </c>
      <c r="H3" s="14" t="s">
        <v>623</v>
      </c>
      <c r="I3" s="14">
        <v>1096295</v>
      </c>
      <c r="J3" s="14">
        <v>0</v>
      </c>
      <c r="K3" s="14">
        <v>0</v>
      </c>
    </row>
    <row r="4" spans="1:11">
      <c r="A4" s="16" t="str">
        <f>VLOOKUP(E4,Table1[[#All],[Campo]],1,0)</f>
        <v>cod_soc</v>
      </c>
      <c r="B4" s="14" t="s">
        <v>1381</v>
      </c>
      <c r="C4" s="14" t="s">
        <v>1372</v>
      </c>
      <c r="D4" s="14" t="s">
        <v>1382</v>
      </c>
      <c r="E4" s="14" t="s">
        <v>1374</v>
      </c>
      <c r="F4" s="14" t="s">
        <v>1375</v>
      </c>
      <c r="G4" s="14" t="s">
        <v>1383</v>
      </c>
      <c r="H4" s="14" t="s">
        <v>623</v>
      </c>
      <c r="I4" s="14">
        <v>2490665</v>
      </c>
      <c r="J4" s="14">
        <v>0</v>
      </c>
      <c r="K4" s="14">
        <v>0</v>
      </c>
    </row>
    <row r="5" spans="1:11">
      <c r="A5" s="16" t="str">
        <f>VLOOKUP(E5,Table1[[#All],[Campo]],1,0)</f>
        <v>dt_rfrnc</v>
      </c>
      <c r="B5" s="14" t="s">
        <v>1384</v>
      </c>
      <c r="C5" s="14" t="s">
        <v>1385</v>
      </c>
      <c r="D5" s="14" t="s">
        <v>1382</v>
      </c>
      <c r="E5" s="14" t="s">
        <v>1379</v>
      </c>
      <c r="F5" s="14" t="s">
        <v>1380</v>
      </c>
      <c r="G5" s="14" t="s">
        <v>1383</v>
      </c>
      <c r="H5" s="14" t="s">
        <v>623</v>
      </c>
      <c r="I5" s="14">
        <v>2490665</v>
      </c>
      <c r="J5" s="14">
        <v>0</v>
      </c>
      <c r="K5" s="14">
        <v>0</v>
      </c>
    </row>
    <row r="6" spans="1:11">
      <c r="A6" s="16" t="str">
        <f>VLOOKUP(E6,Table1[[#All],[Campo]],1,0)</f>
        <v>instrmnt_id</v>
      </c>
      <c r="B6" s="14" t="s">
        <v>1386</v>
      </c>
      <c r="C6" s="14" t="s">
        <v>1387</v>
      </c>
      <c r="D6" s="14" t="s">
        <v>1382</v>
      </c>
      <c r="E6" s="14" t="s">
        <v>1388</v>
      </c>
      <c r="F6" s="14" t="s">
        <v>1375</v>
      </c>
      <c r="G6" s="14" t="s">
        <v>1383</v>
      </c>
      <c r="H6" s="14" t="s">
        <v>623</v>
      </c>
      <c r="I6" s="14">
        <v>2490665</v>
      </c>
      <c r="J6" s="14">
        <v>0</v>
      </c>
      <c r="K6" s="14">
        <v>0</v>
      </c>
    </row>
    <row r="7" spans="1:11">
      <c r="A7" s="16" t="str">
        <f>VLOOKUP(E7,Table1[[#All],[Campo]],1,0)</f>
        <v>cod_soc</v>
      </c>
      <c r="B7" s="14" t="s">
        <v>1389</v>
      </c>
      <c r="C7" s="14" t="s">
        <v>1372</v>
      </c>
      <c r="D7" s="14" t="s">
        <v>1390</v>
      </c>
      <c r="E7" s="14" t="s">
        <v>1374</v>
      </c>
      <c r="F7" s="14" t="s">
        <v>1375</v>
      </c>
      <c r="G7" s="14" t="s">
        <v>1391</v>
      </c>
      <c r="H7" s="14" t="s">
        <v>623</v>
      </c>
      <c r="I7" s="14">
        <v>2002411</v>
      </c>
      <c r="J7" s="14">
        <v>0</v>
      </c>
      <c r="K7" s="14">
        <v>0</v>
      </c>
    </row>
    <row r="8" spans="1:11">
      <c r="A8" s="16" t="str">
        <f>VLOOKUP(E8,Table1[[#All],[Campo]],1,0)</f>
        <v>dt_rfrnc</v>
      </c>
      <c r="B8" s="14" t="s">
        <v>1392</v>
      </c>
      <c r="C8" s="14" t="s">
        <v>1385</v>
      </c>
      <c r="D8" s="14" t="s">
        <v>1390</v>
      </c>
      <c r="E8" s="14" t="s">
        <v>1379</v>
      </c>
      <c r="F8" s="14" t="s">
        <v>1380</v>
      </c>
      <c r="G8" s="14" t="s">
        <v>1391</v>
      </c>
      <c r="H8" s="14" t="s">
        <v>623</v>
      </c>
      <c r="I8" s="14">
        <v>2002411</v>
      </c>
      <c r="J8" s="14">
        <v>0</v>
      </c>
      <c r="K8" s="14">
        <v>0</v>
      </c>
    </row>
    <row r="9" spans="1:11">
      <c r="A9" s="16" t="str">
        <f>VLOOKUP(E9,Table1[[#All],[Campo]],1,0)</f>
        <v>instrmnt_id</v>
      </c>
      <c r="B9" s="14" t="s">
        <v>1393</v>
      </c>
      <c r="C9" s="14" t="s">
        <v>1387</v>
      </c>
      <c r="D9" s="14" t="s">
        <v>1390</v>
      </c>
      <c r="E9" s="14" t="s">
        <v>1388</v>
      </c>
      <c r="F9" s="14" t="s">
        <v>1375</v>
      </c>
      <c r="G9" s="14" t="s">
        <v>1391</v>
      </c>
      <c r="H9" s="14" t="s">
        <v>623</v>
      </c>
      <c r="I9" s="14">
        <v>2002411</v>
      </c>
      <c r="J9" s="14">
        <v>0</v>
      </c>
      <c r="K9" s="14">
        <v>0</v>
      </c>
    </row>
    <row r="10" spans="1:11">
      <c r="A10" s="16" t="str">
        <f>VLOOKUP(E10,Table1[[#All],[Campo]],1,0)</f>
        <v>dflt_stts_instrmnt</v>
      </c>
      <c r="B10" s="14" t="s">
        <v>1394</v>
      </c>
      <c r="C10" s="14" t="s">
        <v>1395</v>
      </c>
      <c r="D10" s="14" t="s">
        <v>1396</v>
      </c>
      <c r="E10" s="14" t="s">
        <v>1397</v>
      </c>
      <c r="F10" s="14" t="s">
        <v>1398</v>
      </c>
      <c r="G10" s="14" t="s">
        <v>1391</v>
      </c>
      <c r="H10" s="14" t="s">
        <v>1399</v>
      </c>
      <c r="I10" s="14">
        <v>2002411</v>
      </c>
      <c r="J10" s="14">
        <v>96182</v>
      </c>
      <c r="K10" s="14">
        <v>4.8033000000000001</v>
      </c>
    </row>
    <row r="11" spans="1:11">
      <c r="A11" s="16" t="str">
        <f>VLOOKUP(E11,Table1[[#All],[Campo]],1,0)</f>
        <v>prfrmng_stts</v>
      </c>
      <c r="B11" s="14" t="s">
        <v>1400</v>
      </c>
      <c r="C11" s="14" t="s">
        <v>1401</v>
      </c>
      <c r="D11" s="14" t="s">
        <v>1396</v>
      </c>
      <c r="E11" s="14" t="s">
        <v>1402</v>
      </c>
      <c r="F11" s="14" t="s">
        <v>1398</v>
      </c>
      <c r="G11" s="14" t="s">
        <v>1391</v>
      </c>
      <c r="H11" s="14" t="s">
        <v>623</v>
      </c>
      <c r="I11" s="14">
        <v>2002411</v>
      </c>
      <c r="J11" s="14">
        <v>0</v>
      </c>
      <c r="K11" s="14">
        <v>0</v>
      </c>
    </row>
    <row r="12" spans="1:11">
      <c r="A12" s="16" t="str">
        <f>VLOOKUP(E12,Table1[[#All],[Campo]],1,0)</f>
        <v>lcl_instmrnt_id</v>
      </c>
      <c r="B12" s="14" t="s">
        <v>1403</v>
      </c>
      <c r="C12" s="14" t="s">
        <v>1404</v>
      </c>
      <c r="D12" s="14" t="s">
        <v>1390</v>
      </c>
      <c r="E12" s="14" t="s">
        <v>1405</v>
      </c>
      <c r="F12" s="14" t="s">
        <v>1375</v>
      </c>
      <c r="G12" s="14" t="s">
        <v>1391</v>
      </c>
      <c r="H12" s="14" t="s">
        <v>1399</v>
      </c>
      <c r="I12" s="14">
        <v>2002411</v>
      </c>
      <c r="J12" s="14">
        <v>2002411</v>
      </c>
      <c r="K12" s="14">
        <v>100</v>
      </c>
    </row>
    <row r="13" spans="1:11">
      <c r="A13" s="16" t="str">
        <f>VLOOKUP(E13,Table1[[#All],[Campo]],1,0)</f>
        <v>sstnbl_indctr</v>
      </c>
      <c r="B13" s="14" t="s">
        <v>1406</v>
      </c>
      <c r="C13" s="14" t="s">
        <v>1407</v>
      </c>
      <c r="D13" s="14" t="s">
        <v>1396</v>
      </c>
      <c r="E13" s="14" t="s">
        <v>1408</v>
      </c>
      <c r="F13" s="14" t="s">
        <v>1409</v>
      </c>
      <c r="G13" s="14" t="s">
        <v>1391</v>
      </c>
      <c r="H13" s="14" t="s">
        <v>1399</v>
      </c>
      <c r="I13" s="14">
        <v>2002318</v>
      </c>
      <c r="J13" s="14">
        <v>2002318</v>
      </c>
      <c r="K13" s="14">
        <v>100</v>
      </c>
    </row>
    <row r="14" spans="1:11">
      <c r="A14" s="16" t="str">
        <f>VLOOKUP(E14,Table1[[#All],[Campo]],1,0)</f>
        <v>sstnbl_ctgry</v>
      </c>
      <c r="B14" s="14" t="s">
        <v>1410</v>
      </c>
      <c r="C14" s="14" t="s">
        <v>1411</v>
      </c>
      <c r="D14" s="14" t="s">
        <v>1396</v>
      </c>
      <c r="E14" s="14" t="s">
        <v>1412</v>
      </c>
      <c r="F14" s="14" t="s">
        <v>1409</v>
      </c>
      <c r="G14" s="14" t="s">
        <v>1391</v>
      </c>
      <c r="H14" s="14" t="s">
        <v>1399</v>
      </c>
      <c r="I14" s="14">
        <v>2002318</v>
      </c>
      <c r="J14" s="14">
        <v>2002318</v>
      </c>
      <c r="K14" s="14">
        <v>100</v>
      </c>
    </row>
    <row r="15" spans="1:11">
      <c r="A15" s="16" t="e">
        <f>VLOOKUP(E15,Table1[[#All],[Campo]],1,0)</f>
        <v>#N/A</v>
      </c>
      <c r="B15" s="14" t="s">
        <v>1413</v>
      </c>
      <c r="C15" s="14" t="s">
        <v>1414</v>
      </c>
      <c r="D15" s="14" t="s">
        <v>1396</v>
      </c>
      <c r="E15" s="14" t="s">
        <v>1415</v>
      </c>
      <c r="F15" s="14" t="s">
        <v>1409</v>
      </c>
      <c r="G15" s="14" t="s">
        <v>1391</v>
      </c>
      <c r="H15" s="14" t="s">
        <v>1399</v>
      </c>
      <c r="I15" s="14">
        <v>2002411</v>
      </c>
      <c r="J15" s="14">
        <v>2002411</v>
      </c>
      <c r="K15" s="14">
        <v>100</v>
      </c>
    </row>
    <row r="16" spans="1:11">
      <c r="A16" s="16" t="e">
        <f>VLOOKUP(E16,Table1[[#All],[Campo]],1,0)</f>
        <v>#N/A</v>
      </c>
      <c r="B16" s="14" t="s">
        <v>1416</v>
      </c>
      <c r="C16" s="14" t="s">
        <v>1417</v>
      </c>
      <c r="D16" s="14" t="s">
        <v>1396</v>
      </c>
      <c r="E16" s="14" t="s">
        <v>1418</v>
      </c>
      <c r="F16" s="14" t="s">
        <v>1409</v>
      </c>
      <c r="G16" s="14" t="s">
        <v>1391</v>
      </c>
      <c r="H16" s="14" t="s">
        <v>1399</v>
      </c>
      <c r="I16" s="14">
        <v>2002411</v>
      </c>
      <c r="J16" s="14">
        <v>2002411</v>
      </c>
      <c r="K16" s="14">
        <v>100</v>
      </c>
    </row>
    <row r="17" spans="1:11">
      <c r="A17" s="16" t="e">
        <f>VLOOKUP(E17,Table1[[#All],[Campo]],1,0)</f>
        <v>#N/A</v>
      </c>
      <c r="B17" s="14" t="s">
        <v>1419</v>
      </c>
      <c r="C17" s="14" t="s">
        <v>1420</v>
      </c>
      <c r="D17" s="14" t="s">
        <v>1396</v>
      </c>
      <c r="E17" s="14" t="s">
        <v>1421</v>
      </c>
      <c r="F17" s="14" t="s">
        <v>1409</v>
      </c>
      <c r="G17" s="14" t="s">
        <v>1391</v>
      </c>
      <c r="H17" s="14" t="s">
        <v>1399</v>
      </c>
      <c r="I17" s="14">
        <v>2002411</v>
      </c>
      <c r="J17" s="14">
        <v>2002411</v>
      </c>
      <c r="K17" s="14">
        <v>100</v>
      </c>
    </row>
    <row r="18" spans="1:11">
      <c r="A18" s="16" t="e">
        <f>VLOOKUP(E18,Table1[[#All],[Campo]],1,0)</f>
        <v>#N/A</v>
      </c>
      <c r="B18" s="14" t="s">
        <v>1422</v>
      </c>
      <c r="C18" s="14" t="s">
        <v>1423</v>
      </c>
      <c r="D18" s="14" t="s">
        <v>1396</v>
      </c>
      <c r="E18" s="14" t="s">
        <v>1424</v>
      </c>
      <c r="F18" s="14" t="s">
        <v>1409</v>
      </c>
      <c r="G18" s="14" t="s">
        <v>1391</v>
      </c>
      <c r="H18" s="14" t="s">
        <v>1399</v>
      </c>
      <c r="I18" s="14">
        <v>2002411</v>
      </c>
      <c r="J18" s="14">
        <v>2002411</v>
      </c>
      <c r="K18" s="14">
        <v>100</v>
      </c>
    </row>
    <row r="19" spans="1:11">
      <c r="A19" s="16" t="s">
        <v>1425</v>
      </c>
      <c r="B19" s="14" t="s">
        <v>1426</v>
      </c>
      <c r="C19" s="14" t="s">
        <v>1427</v>
      </c>
      <c r="D19" s="14" t="s">
        <v>1396</v>
      </c>
      <c r="E19" s="14" t="s">
        <v>1428</v>
      </c>
      <c r="F19" s="14" t="s">
        <v>1409</v>
      </c>
      <c r="G19" s="14" t="s">
        <v>1391</v>
      </c>
      <c r="H19" s="14" t="s">
        <v>1399</v>
      </c>
      <c r="I19" s="14">
        <v>2002411</v>
      </c>
      <c r="J19" s="14">
        <v>2002411</v>
      </c>
      <c r="K19" s="14">
        <v>100</v>
      </c>
    </row>
    <row r="20" spans="1:11">
      <c r="A20" s="16" t="str">
        <f>VLOOKUP(E20,Table1[[#All],[Campo]],1,0)</f>
        <v>idcmb</v>
      </c>
      <c r="B20" s="14" t="s">
        <v>1429</v>
      </c>
      <c r="C20" s="14" t="s">
        <v>1430</v>
      </c>
      <c r="D20" s="14" t="s">
        <v>1390</v>
      </c>
      <c r="E20" s="14" t="s">
        <v>1431</v>
      </c>
      <c r="F20" s="14" t="s">
        <v>1375</v>
      </c>
      <c r="G20" s="14" t="s">
        <v>1391</v>
      </c>
      <c r="H20" s="14" t="s">
        <v>1399</v>
      </c>
      <c r="I20" s="14">
        <v>2002411</v>
      </c>
      <c r="J20" s="14">
        <v>1</v>
      </c>
      <c r="K20" s="14">
        <v>0</v>
      </c>
    </row>
    <row r="21" spans="1:11">
      <c r="A21" s="16" t="str">
        <f>VLOOKUP(E21,Table1[[#All],[Campo]],1,0)</f>
        <v>cod_soc</v>
      </c>
      <c r="B21" s="14" t="s">
        <v>1432</v>
      </c>
      <c r="C21" s="14" t="s">
        <v>1372</v>
      </c>
      <c r="D21" s="14" t="s">
        <v>1433</v>
      </c>
      <c r="E21" s="14" t="s">
        <v>1374</v>
      </c>
      <c r="F21" s="14" t="s">
        <v>1375</v>
      </c>
      <c r="G21" s="14" t="s">
        <v>1434</v>
      </c>
      <c r="H21" s="14" t="s">
        <v>623</v>
      </c>
      <c r="I21" s="14">
        <v>731165</v>
      </c>
      <c r="J21" s="14">
        <v>0</v>
      </c>
      <c r="K21" s="14">
        <v>0</v>
      </c>
    </row>
    <row r="22" spans="1:11">
      <c r="A22" s="16" t="str">
        <f>VLOOKUP(E22,Table1[[#All],[Campo]],1,0)</f>
        <v>dt_rfrnc</v>
      </c>
      <c r="B22" s="14" t="s">
        <v>1435</v>
      </c>
      <c r="C22" s="14" t="s">
        <v>1385</v>
      </c>
      <c r="D22" s="14" t="s">
        <v>1433</v>
      </c>
      <c r="E22" s="14" t="s">
        <v>1379</v>
      </c>
      <c r="F22" s="14" t="s">
        <v>1380</v>
      </c>
      <c r="G22" s="14" t="s">
        <v>1434</v>
      </c>
      <c r="H22" s="14" t="s">
        <v>623</v>
      </c>
      <c r="I22" s="14">
        <v>731165</v>
      </c>
      <c r="J22" s="14">
        <v>0</v>
      </c>
      <c r="K22" s="14">
        <v>0</v>
      </c>
    </row>
    <row r="23" spans="1:11">
      <c r="A23" s="16" t="str">
        <f>VLOOKUP(E23,Table1[[#All],[Campo]],1,0)</f>
        <v>instrmnt_id</v>
      </c>
      <c r="B23" s="14" t="s">
        <v>1436</v>
      </c>
      <c r="C23" s="14" t="s">
        <v>1387</v>
      </c>
      <c r="D23" s="14" t="s">
        <v>1433</v>
      </c>
      <c r="E23" s="14" t="s">
        <v>1388</v>
      </c>
      <c r="F23" s="14" t="s">
        <v>1375</v>
      </c>
      <c r="G23" s="14" t="s">
        <v>1434</v>
      </c>
      <c r="H23" s="14" t="s">
        <v>623</v>
      </c>
      <c r="I23" s="14">
        <v>731165</v>
      </c>
      <c r="J23" s="14">
        <v>0</v>
      </c>
      <c r="K23" s="14">
        <v>0</v>
      </c>
    </row>
    <row r="24" spans="1:11">
      <c r="A24" s="16" t="str">
        <f>VLOOKUP(E24,Table1[[#All],[Campo]],1,0)</f>
        <v>cod_soc</v>
      </c>
      <c r="B24" s="14" t="s">
        <v>1437</v>
      </c>
      <c r="C24" s="14" t="s">
        <v>1372</v>
      </c>
      <c r="D24" s="14" t="s">
        <v>1438</v>
      </c>
      <c r="E24" s="14" t="s">
        <v>1374</v>
      </c>
      <c r="F24" s="14" t="s">
        <v>1375</v>
      </c>
      <c r="G24" s="14" t="s">
        <v>1439</v>
      </c>
      <c r="H24" s="14" t="s">
        <v>623</v>
      </c>
      <c r="I24" s="14">
        <v>456960</v>
      </c>
      <c r="J24" s="14">
        <v>0</v>
      </c>
      <c r="K24" s="14">
        <v>0</v>
      </c>
    </row>
    <row r="25" spans="1:11">
      <c r="A25" s="16" t="str">
        <f>VLOOKUP(E25,Table1[[#All],[Campo]],1,0)</f>
        <v>dt_rfrnc</v>
      </c>
      <c r="B25" s="14" t="s">
        <v>1440</v>
      </c>
      <c r="C25" s="14" t="s">
        <v>1385</v>
      </c>
      <c r="D25" s="14" t="s">
        <v>1438</v>
      </c>
      <c r="E25" s="14" t="s">
        <v>1379</v>
      </c>
      <c r="F25" s="14" t="s">
        <v>1380</v>
      </c>
      <c r="G25" s="14" t="s">
        <v>1439</v>
      </c>
      <c r="H25" s="14" t="s">
        <v>623</v>
      </c>
      <c r="I25" s="14">
        <v>456960</v>
      </c>
      <c r="J25" s="14">
        <v>0</v>
      </c>
      <c r="K25" s="14">
        <v>0</v>
      </c>
    </row>
    <row r="26" spans="1:11">
      <c r="A26" s="16" t="str">
        <f>VLOOKUP(E26,Table1[[#All],[Campo]],1,0)</f>
        <v>instrmnt_id</v>
      </c>
      <c r="B26" s="14" t="s">
        <v>1441</v>
      </c>
      <c r="C26" s="14" t="s">
        <v>1442</v>
      </c>
      <c r="D26" s="14" t="s">
        <v>1396</v>
      </c>
      <c r="E26" s="14" t="s">
        <v>1388</v>
      </c>
      <c r="F26" s="14" t="s">
        <v>1443</v>
      </c>
      <c r="G26" s="14" t="s">
        <v>1444</v>
      </c>
      <c r="H26" s="14" t="s">
        <v>623</v>
      </c>
      <c r="I26" s="14">
        <v>2003033</v>
      </c>
      <c r="J26" s="14">
        <v>0</v>
      </c>
      <c r="K26" s="14">
        <v>0</v>
      </c>
    </row>
    <row r="27" spans="1:11">
      <c r="A27" s="16" t="str">
        <f>VLOOKUP(E27,Table1[[#All],[Campo]],1,0)</f>
        <v>instrmnt_id</v>
      </c>
      <c r="B27" s="14" t="s">
        <v>1445</v>
      </c>
      <c r="C27" s="14" t="s">
        <v>1446</v>
      </c>
      <c r="D27" s="14" t="s">
        <v>1447</v>
      </c>
      <c r="E27" s="14" t="s">
        <v>1388</v>
      </c>
      <c r="F27" s="14" t="s">
        <v>1443</v>
      </c>
      <c r="G27" s="14" t="s">
        <v>1444</v>
      </c>
      <c r="H27" s="14" t="s">
        <v>623</v>
      </c>
      <c r="I27" s="14">
        <v>731165</v>
      </c>
      <c r="J27" s="14">
        <v>0</v>
      </c>
      <c r="K27" s="14">
        <v>0</v>
      </c>
    </row>
    <row r="28" spans="1:11">
      <c r="A28" s="16" t="str">
        <f>VLOOKUP(E28,Table1[[#All],[Campo]],1,0)</f>
        <v>cod_soc</v>
      </c>
      <c r="B28" s="14" t="s">
        <v>1448</v>
      </c>
      <c r="C28" s="14" t="s">
        <v>1449</v>
      </c>
      <c r="D28" s="14" t="s">
        <v>1450</v>
      </c>
      <c r="E28" s="14" t="s">
        <v>1374</v>
      </c>
      <c r="F28" s="14" t="s">
        <v>1451</v>
      </c>
      <c r="G28" s="14" t="s">
        <v>1452</v>
      </c>
      <c r="H28" s="14" t="s">
        <v>623</v>
      </c>
      <c r="I28" s="14">
        <v>1096295</v>
      </c>
      <c r="J28" s="14">
        <v>0</v>
      </c>
      <c r="K28" s="14">
        <v>0</v>
      </c>
    </row>
    <row r="29" spans="1:11">
      <c r="A29" s="16" t="str">
        <f>VLOOKUP(E29,Table1[[#All],[Campo]],1,0)</f>
        <v>dt_rfrnc</v>
      </c>
      <c r="B29" s="14" t="s">
        <v>1453</v>
      </c>
      <c r="C29" s="14" t="s">
        <v>1454</v>
      </c>
      <c r="D29" s="14" t="s">
        <v>1450</v>
      </c>
      <c r="E29" s="14" t="s">
        <v>1379</v>
      </c>
      <c r="F29" s="14" t="s">
        <v>1455</v>
      </c>
      <c r="G29" s="14" t="s">
        <v>1452</v>
      </c>
      <c r="H29" s="14" t="s">
        <v>623</v>
      </c>
      <c r="I29" s="14">
        <v>1096295</v>
      </c>
      <c r="J29" s="14">
        <v>0</v>
      </c>
      <c r="K29" s="14">
        <v>0</v>
      </c>
    </row>
    <row r="30" spans="1:11">
      <c r="A30" s="16" t="str">
        <f>VLOOKUP(E30,Table1[[#All],[Campo]],1,0)</f>
        <v>cod_soc</v>
      </c>
      <c r="B30" s="14" t="s">
        <v>1456</v>
      </c>
      <c r="C30" s="14" t="s">
        <v>1449</v>
      </c>
      <c r="D30" s="14" t="s">
        <v>1457</v>
      </c>
      <c r="E30" s="14" t="s">
        <v>1374</v>
      </c>
      <c r="F30" s="14" t="s">
        <v>1451</v>
      </c>
      <c r="G30" s="14" t="s">
        <v>1458</v>
      </c>
      <c r="H30" s="14" t="s">
        <v>623</v>
      </c>
      <c r="I30" s="14">
        <v>2490665</v>
      </c>
      <c r="J30" s="14">
        <v>0</v>
      </c>
      <c r="K30" s="14">
        <v>0</v>
      </c>
    </row>
    <row r="31" spans="1:11">
      <c r="A31" s="16" t="str">
        <f>VLOOKUP(E31,Table1[[#All],[Campo]],1,0)</f>
        <v>dt_rfrnc</v>
      </c>
      <c r="B31" s="14" t="s">
        <v>1459</v>
      </c>
      <c r="C31" s="14" t="s">
        <v>1460</v>
      </c>
      <c r="D31" s="14" t="s">
        <v>1457</v>
      </c>
      <c r="E31" s="14" t="s">
        <v>1379</v>
      </c>
      <c r="F31" s="14" t="s">
        <v>1455</v>
      </c>
      <c r="G31" s="14" t="s">
        <v>1458</v>
      </c>
      <c r="H31" s="14" t="s">
        <v>623</v>
      </c>
      <c r="I31" s="14">
        <v>2490665</v>
      </c>
      <c r="J31" s="14">
        <v>0</v>
      </c>
      <c r="K31" s="14">
        <v>0</v>
      </c>
    </row>
    <row r="32" spans="1:11">
      <c r="A32" s="16" t="str">
        <f>VLOOKUP(E32,Table1[[#All],[Campo]],1,0)</f>
        <v>instrmnt_id</v>
      </c>
      <c r="B32" s="14" t="s">
        <v>1461</v>
      </c>
      <c r="C32" s="14" t="s">
        <v>1462</v>
      </c>
      <c r="D32" s="14" t="s">
        <v>1457</v>
      </c>
      <c r="E32" s="14" t="s">
        <v>1388</v>
      </c>
      <c r="F32" s="14" t="s">
        <v>1463</v>
      </c>
      <c r="G32" s="14" t="s">
        <v>1458</v>
      </c>
      <c r="H32" s="14" t="s">
        <v>623</v>
      </c>
      <c r="I32" s="14">
        <v>2490665</v>
      </c>
      <c r="J32" s="14">
        <v>0</v>
      </c>
      <c r="K32" s="14">
        <v>0</v>
      </c>
    </row>
    <row r="33" spans="1:11">
      <c r="A33" s="16" t="str">
        <f>VLOOKUP(E33,Table1[[#All],[Campo]],1,0)</f>
        <v>cod_soc</v>
      </c>
      <c r="B33" s="14" t="s">
        <v>1464</v>
      </c>
      <c r="C33" s="14" t="s">
        <v>1449</v>
      </c>
      <c r="D33" s="14" t="s">
        <v>1396</v>
      </c>
      <c r="E33" s="14" t="s">
        <v>1374</v>
      </c>
      <c r="F33" s="14" t="s">
        <v>1451</v>
      </c>
      <c r="G33" s="14" t="s">
        <v>1465</v>
      </c>
      <c r="H33" s="14" t="s">
        <v>623</v>
      </c>
      <c r="I33" s="14">
        <v>2003033</v>
      </c>
      <c r="J33" s="14">
        <v>0</v>
      </c>
      <c r="K33" s="14">
        <v>0</v>
      </c>
    </row>
    <row r="34" spans="1:11">
      <c r="A34" s="16" t="str">
        <f>VLOOKUP(E34,Table1[[#All],[Campo]],1,0)</f>
        <v>subportfolio_id</v>
      </c>
      <c r="B34" s="14" t="s">
        <v>1466</v>
      </c>
      <c r="C34" s="14" t="s">
        <v>1467</v>
      </c>
      <c r="D34" s="14" t="s">
        <v>1396</v>
      </c>
      <c r="E34" s="14" t="s">
        <v>1468</v>
      </c>
      <c r="F34" s="14" t="s">
        <v>1451</v>
      </c>
      <c r="G34" s="14" t="s">
        <v>1465</v>
      </c>
      <c r="H34" s="14" t="s">
        <v>623</v>
      </c>
      <c r="I34" s="14">
        <v>2003033</v>
      </c>
      <c r="J34" s="14">
        <v>0</v>
      </c>
      <c r="K34" s="14">
        <v>0</v>
      </c>
    </row>
    <row r="35" spans="1:11">
      <c r="A35" s="16" t="str">
        <f>VLOOKUP(E35,Table1[[#All],[Campo]],1,0)</f>
        <v>dt_rfrnc</v>
      </c>
      <c r="B35" s="14" t="s">
        <v>1469</v>
      </c>
      <c r="C35" s="14" t="s">
        <v>1460</v>
      </c>
      <c r="D35" s="14" t="s">
        <v>1396</v>
      </c>
      <c r="E35" s="14" t="s">
        <v>1379</v>
      </c>
      <c r="F35" s="14" t="s">
        <v>1455</v>
      </c>
      <c r="G35" s="14" t="s">
        <v>1465</v>
      </c>
      <c r="H35" s="14" t="s">
        <v>623</v>
      </c>
      <c r="I35" s="14">
        <v>2003033</v>
      </c>
      <c r="J35" s="14">
        <v>0</v>
      </c>
      <c r="K35" s="14">
        <v>0</v>
      </c>
    </row>
    <row r="36" spans="1:11">
      <c r="A36" s="16" t="str">
        <f>VLOOKUP(E36,Table1[[#All],[Campo]],1,0)</f>
        <v>instrmnt_id</v>
      </c>
      <c r="B36" s="14" t="s">
        <v>1470</v>
      </c>
      <c r="C36" s="14" t="s">
        <v>1462</v>
      </c>
      <c r="D36" s="14" t="s">
        <v>1396</v>
      </c>
      <c r="E36" s="14" t="s">
        <v>1388</v>
      </c>
      <c r="F36" s="14" t="s">
        <v>1463</v>
      </c>
      <c r="G36" s="14" t="s">
        <v>1465</v>
      </c>
      <c r="H36" s="14" t="s">
        <v>623</v>
      </c>
      <c r="I36" s="14">
        <v>2003033</v>
      </c>
      <c r="J36" s="14">
        <v>0</v>
      </c>
      <c r="K36" s="14">
        <v>0</v>
      </c>
    </row>
    <row r="37" spans="1:11">
      <c r="A37" s="16" t="str">
        <f>VLOOKUP(E37,Table1[[#All],[Campo]],1,0)</f>
        <v>dflt_stts_instrmnt</v>
      </c>
      <c r="B37" s="14" t="s">
        <v>1471</v>
      </c>
      <c r="C37" s="14" t="s">
        <v>1472</v>
      </c>
      <c r="D37" s="14" t="s">
        <v>1396</v>
      </c>
      <c r="E37" s="14" t="s">
        <v>1397</v>
      </c>
      <c r="F37" s="14" t="s">
        <v>1451</v>
      </c>
      <c r="G37" s="14" t="s">
        <v>1465</v>
      </c>
      <c r="H37" s="14" t="s">
        <v>623</v>
      </c>
      <c r="I37" s="14">
        <v>2003033</v>
      </c>
      <c r="J37" s="14">
        <v>0</v>
      </c>
      <c r="K37" s="14">
        <v>0</v>
      </c>
    </row>
    <row r="38" spans="1:11">
      <c r="A38" s="16" t="str">
        <f>VLOOKUP(E38,Table1[[#All],[Campo]],1,0)</f>
        <v>imprmnt_stts</v>
      </c>
      <c r="B38" s="14" t="s">
        <v>1473</v>
      </c>
      <c r="C38" s="14" t="s">
        <v>1474</v>
      </c>
      <c r="D38" s="14" t="s">
        <v>1396</v>
      </c>
      <c r="E38" s="14" t="s">
        <v>1475</v>
      </c>
      <c r="F38" s="14" t="s">
        <v>1451</v>
      </c>
      <c r="G38" s="14" t="s">
        <v>1465</v>
      </c>
      <c r="H38" s="14" t="s">
        <v>623</v>
      </c>
      <c r="I38" s="14">
        <v>2003033</v>
      </c>
      <c r="J38" s="14">
        <v>0</v>
      </c>
      <c r="K38" s="14">
        <v>0</v>
      </c>
    </row>
    <row r="39" spans="1:11">
      <c r="A39" s="16" t="str">
        <f>VLOOKUP(E39,Table1[[#All],[Campo]],1,0)</f>
        <v>prfrmng_stts</v>
      </c>
      <c r="B39" s="14" t="s">
        <v>1476</v>
      </c>
      <c r="C39" s="14" t="s">
        <v>1477</v>
      </c>
      <c r="D39" s="14" t="s">
        <v>1396</v>
      </c>
      <c r="E39" s="14" t="s">
        <v>1402</v>
      </c>
      <c r="F39" s="14" t="s">
        <v>1451</v>
      </c>
      <c r="G39" s="14" t="s">
        <v>1465</v>
      </c>
      <c r="H39" s="14" t="s">
        <v>623</v>
      </c>
      <c r="I39" s="14">
        <v>2003033</v>
      </c>
      <c r="J39" s="14">
        <v>0</v>
      </c>
      <c r="K39" s="14">
        <v>0</v>
      </c>
    </row>
    <row r="40" spans="1:11">
      <c r="A40" s="16" t="str">
        <f>VLOOKUP(E40,Table1[[#All],[Campo]],1,0)</f>
        <v>typ_instrmnt</v>
      </c>
      <c r="B40" s="14" t="s">
        <v>1478</v>
      </c>
      <c r="C40" s="14" t="s">
        <v>1479</v>
      </c>
      <c r="D40" s="14" t="s">
        <v>1396</v>
      </c>
      <c r="E40" s="14" t="s">
        <v>1480</v>
      </c>
      <c r="F40" s="14" t="s">
        <v>1451</v>
      </c>
      <c r="G40" s="14" t="s">
        <v>1465</v>
      </c>
      <c r="H40" s="14" t="s">
        <v>623</v>
      </c>
      <c r="I40" s="14">
        <v>2003033</v>
      </c>
      <c r="J40" s="14">
        <v>0</v>
      </c>
      <c r="K40" s="14">
        <v>0</v>
      </c>
    </row>
    <row r="41" spans="1:11">
      <c r="A41" s="16" t="str">
        <f>VLOOKUP(E41,Table1[[#All],[Campo]],1,0)</f>
        <v>grss_crryng_amnt_instrmnt</v>
      </c>
      <c r="B41" s="14" t="s">
        <v>1481</v>
      </c>
      <c r="C41" s="14" t="s">
        <v>1482</v>
      </c>
      <c r="D41" s="14" t="s">
        <v>1396</v>
      </c>
      <c r="E41" s="14" t="s">
        <v>1483</v>
      </c>
      <c r="F41" s="14" t="s">
        <v>1484</v>
      </c>
      <c r="G41" s="14" t="s">
        <v>1465</v>
      </c>
      <c r="H41" s="14" t="s">
        <v>623</v>
      </c>
      <c r="I41" s="14">
        <v>2003033</v>
      </c>
      <c r="J41" s="14">
        <v>0</v>
      </c>
      <c r="K41" s="14">
        <v>0</v>
      </c>
    </row>
    <row r="42" spans="1:11">
      <c r="A42" s="16" t="str">
        <f>VLOOKUP(E42,Table1[[#All],[Campo]],1,0)</f>
        <v>accmltd_chngs_fv_cr_instrmnt</v>
      </c>
      <c r="B42" s="14" t="s">
        <v>1485</v>
      </c>
      <c r="C42" s="14" t="s">
        <v>1486</v>
      </c>
      <c r="D42" s="14" t="s">
        <v>1396</v>
      </c>
      <c r="E42" s="14" t="s">
        <v>1487</v>
      </c>
      <c r="F42" s="14" t="s">
        <v>1484</v>
      </c>
      <c r="G42" s="14" t="s">
        <v>1465</v>
      </c>
      <c r="H42" s="14" t="s">
        <v>623</v>
      </c>
      <c r="I42" s="14">
        <v>2003033</v>
      </c>
      <c r="J42" s="14">
        <v>0</v>
      </c>
      <c r="K42" s="14">
        <v>0</v>
      </c>
    </row>
    <row r="43" spans="1:11">
      <c r="A43" s="16" t="str">
        <f>VLOOKUP(E43,Table1[[#All],[Campo]],1,0)</f>
        <v>accntng_clssfctn</v>
      </c>
      <c r="B43" s="14" t="s">
        <v>1488</v>
      </c>
      <c r="C43" s="14" t="s">
        <v>1489</v>
      </c>
      <c r="D43" s="14" t="s">
        <v>1396</v>
      </c>
      <c r="E43" s="14" t="s">
        <v>1490</v>
      </c>
      <c r="F43" s="14" t="s">
        <v>1451</v>
      </c>
      <c r="G43" s="14" t="s">
        <v>1465</v>
      </c>
      <c r="H43" s="14" t="s">
        <v>623</v>
      </c>
      <c r="I43" s="14">
        <v>2003033</v>
      </c>
      <c r="J43" s="14">
        <v>0</v>
      </c>
      <c r="K43" s="14">
        <v>0</v>
      </c>
    </row>
    <row r="44" spans="1:11">
      <c r="A44" s="16" t="e">
        <f>VLOOKUP(E44,Table1[[#All],[Campo]],1,0)</f>
        <v>#N/A</v>
      </c>
      <c r="B44" s="14" t="s">
        <v>1491</v>
      </c>
      <c r="C44" s="14" t="s">
        <v>1492</v>
      </c>
      <c r="D44" s="14" t="s">
        <v>1396</v>
      </c>
      <c r="E44" s="14" t="s">
        <v>1493</v>
      </c>
      <c r="F44" s="14" t="s">
        <v>1484</v>
      </c>
      <c r="G44" s="14" t="s">
        <v>1465</v>
      </c>
      <c r="H44" s="14" t="s">
        <v>623</v>
      </c>
      <c r="I44" s="14">
        <v>2003033</v>
      </c>
      <c r="J44" s="14">
        <v>0</v>
      </c>
      <c r="K44" s="14">
        <v>0</v>
      </c>
    </row>
    <row r="45" spans="1:11">
      <c r="A45" s="16" t="e">
        <f>VLOOKUP(E45,Table1[[#All],[Campo]],1,0)</f>
        <v>#N/A</v>
      </c>
      <c r="B45" s="14" t="s">
        <v>1494</v>
      </c>
      <c r="C45" s="14" t="s">
        <v>1495</v>
      </c>
      <c r="D45" s="14" t="s">
        <v>1396</v>
      </c>
      <c r="E45" s="14" t="s">
        <v>1496</v>
      </c>
      <c r="F45" s="14" t="s">
        <v>1484</v>
      </c>
      <c r="G45" s="14" t="s">
        <v>1465</v>
      </c>
      <c r="H45" s="14" t="s">
        <v>623</v>
      </c>
      <c r="I45" s="14">
        <v>2003033</v>
      </c>
      <c r="J45" s="14">
        <v>0</v>
      </c>
      <c r="K45" s="14">
        <v>0</v>
      </c>
    </row>
    <row r="46" spans="1:11">
      <c r="A46" s="16" t="e">
        <f>VLOOKUP(E46,Table1[[#All],[Campo]],1,0)</f>
        <v>#N/A</v>
      </c>
      <c r="B46" s="14" t="s">
        <v>1497</v>
      </c>
      <c r="C46" s="14" t="s">
        <v>1498</v>
      </c>
      <c r="D46" s="14" t="s">
        <v>1396</v>
      </c>
      <c r="E46" s="14" t="s">
        <v>1499</v>
      </c>
      <c r="F46" s="14" t="s">
        <v>1484</v>
      </c>
      <c r="G46" s="14" t="s">
        <v>1465</v>
      </c>
      <c r="H46" s="14" t="s">
        <v>623</v>
      </c>
      <c r="I46" s="14">
        <v>2003033</v>
      </c>
      <c r="J46" s="14">
        <v>0</v>
      </c>
      <c r="K46" s="14">
        <v>0</v>
      </c>
    </row>
    <row r="47" spans="1:11">
      <c r="A47" s="16" t="str">
        <f>VLOOKUP(E47,Table1[[#All],[Campo]],1,0)</f>
        <v>accmltd_imprmnt_instrmnt</v>
      </c>
      <c r="B47" s="14" t="s">
        <v>1500</v>
      </c>
      <c r="C47" s="14" t="s">
        <v>1501</v>
      </c>
      <c r="D47" s="14" t="s">
        <v>1396</v>
      </c>
      <c r="E47" s="14" t="s">
        <v>1502</v>
      </c>
      <c r="F47" s="14" t="s">
        <v>1484</v>
      </c>
      <c r="G47" s="14" t="s">
        <v>1465</v>
      </c>
      <c r="H47" s="14" t="s">
        <v>623</v>
      </c>
      <c r="I47" s="14">
        <v>2003033</v>
      </c>
      <c r="J47" s="14">
        <v>0</v>
      </c>
      <c r="K47" s="14">
        <v>0</v>
      </c>
    </row>
    <row r="48" spans="1:11">
      <c r="A48" s="16" t="e">
        <f>VLOOKUP(E48,Table1[[#All],[Campo]],1,0)</f>
        <v>#N/A</v>
      </c>
      <c r="B48" s="14" t="s">
        <v>1503</v>
      </c>
      <c r="C48" s="14" t="s">
        <v>1504</v>
      </c>
      <c r="D48" s="14" t="s">
        <v>1396</v>
      </c>
      <c r="E48" s="14" t="s">
        <v>1505</v>
      </c>
      <c r="F48" s="14" t="s">
        <v>1451</v>
      </c>
      <c r="G48" s="14" t="s">
        <v>1465</v>
      </c>
      <c r="H48" s="14" t="s">
        <v>1399</v>
      </c>
      <c r="I48" s="14">
        <v>2003033</v>
      </c>
      <c r="J48" s="14">
        <v>744</v>
      </c>
      <c r="K48" s="14">
        <v>3.7100000000000001E-2</v>
      </c>
    </row>
    <row r="49" spans="1:11">
      <c r="A49" s="16" t="str">
        <f>VLOOKUP(E49,Table1[[#All],[Campo]],1,0)</f>
        <v>lcl_instmrnt_id</v>
      </c>
      <c r="B49" s="14" t="s">
        <v>1506</v>
      </c>
      <c r="C49" s="14" t="s">
        <v>1507</v>
      </c>
      <c r="D49" s="14" t="s">
        <v>1396</v>
      </c>
      <c r="E49" s="14" t="s">
        <v>1405</v>
      </c>
      <c r="F49" s="14" t="s">
        <v>1463</v>
      </c>
      <c r="G49" s="14" t="s">
        <v>1465</v>
      </c>
      <c r="H49" s="14" t="s">
        <v>623</v>
      </c>
      <c r="I49" s="14">
        <v>2003033</v>
      </c>
      <c r="J49" s="14">
        <v>0</v>
      </c>
      <c r="K49" s="14">
        <v>0</v>
      </c>
    </row>
    <row r="50" spans="1:11">
      <c r="A50" s="16" t="str">
        <f>VLOOKUP(E50,Table1[[#All],[Campo]],1,0)</f>
        <v>sstnbl_indctr</v>
      </c>
      <c r="B50" s="14" t="s">
        <v>1508</v>
      </c>
      <c r="C50" s="14" t="s">
        <v>1509</v>
      </c>
      <c r="D50" s="14" t="s">
        <v>1396</v>
      </c>
      <c r="E50" s="14" t="s">
        <v>1408</v>
      </c>
      <c r="F50" s="14" t="s">
        <v>1451</v>
      </c>
      <c r="G50" s="14" t="s">
        <v>1465</v>
      </c>
      <c r="H50" s="14" t="s">
        <v>1399</v>
      </c>
      <c r="I50" s="14">
        <v>2003033</v>
      </c>
      <c r="J50" s="14">
        <v>2003033</v>
      </c>
      <c r="K50" s="14">
        <v>100</v>
      </c>
    </row>
    <row r="51" spans="1:11">
      <c r="A51" s="16" t="str">
        <f>VLOOKUP(E51,Table1[[#All],[Campo]],1,0)</f>
        <v>sstnbl_ctgry</v>
      </c>
      <c r="B51" s="14" t="s">
        <v>1510</v>
      </c>
      <c r="C51" s="14" t="s">
        <v>1511</v>
      </c>
      <c r="D51" s="14" t="s">
        <v>1396</v>
      </c>
      <c r="E51" s="14" t="s">
        <v>1412</v>
      </c>
      <c r="F51" s="14" t="s">
        <v>1451</v>
      </c>
      <c r="G51" s="14" t="s">
        <v>1465</v>
      </c>
      <c r="H51" s="14" t="s">
        <v>1399</v>
      </c>
      <c r="I51" s="14">
        <v>2003033</v>
      </c>
      <c r="J51" s="14">
        <v>2003033</v>
      </c>
      <c r="K51" s="14">
        <v>100</v>
      </c>
    </row>
    <row r="52" spans="1:11">
      <c r="A52" s="16" t="e">
        <f>VLOOKUP(E52,Table1[[#All],[Campo]],1,0)</f>
        <v>#N/A</v>
      </c>
      <c r="B52" s="14" t="s">
        <v>1512</v>
      </c>
      <c r="C52" s="14" t="s">
        <v>1513</v>
      </c>
      <c r="D52" s="14" t="s">
        <v>1396</v>
      </c>
      <c r="E52" s="14" t="s">
        <v>1514</v>
      </c>
      <c r="F52" s="14" t="s">
        <v>1484</v>
      </c>
      <c r="G52" s="14" t="s">
        <v>1465</v>
      </c>
      <c r="H52" s="14" t="s">
        <v>623</v>
      </c>
      <c r="I52" s="14">
        <v>2003033</v>
      </c>
      <c r="J52" s="14">
        <v>0</v>
      </c>
      <c r="K52" s="14">
        <v>0</v>
      </c>
    </row>
    <row r="53" spans="1:11">
      <c r="A53" s="16" t="e">
        <f>VLOOKUP(E53,Table1[[#All],[Campo]],1,0)</f>
        <v>#N/A</v>
      </c>
      <c r="B53" s="14" t="s">
        <v>1515</v>
      </c>
      <c r="C53" s="14" t="s">
        <v>1516</v>
      </c>
      <c r="D53" s="14" t="s">
        <v>1396</v>
      </c>
      <c r="E53" s="14" t="s">
        <v>1415</v>
      </c>
      <c r="F53" s="14" t="s">
        <v>1451</v>
      </c>
      <c r="G53" s="14" t="s">
        <v>1465</v>
      </c>
      <c r="H53" s="14" t="s">
        <v>1399</v>
      </c>
      <c r="I53" s="14">
        <v>2003033</v>
      </c>
      <c r="J53" s="14">
        <v>2003033</v>
      </c>
      <c r="K53" s="14">
        <v>100</v>
      </c>
    </row>
    <row r="54" spans="1:11">
      <c r="A54" s="16" t="str">
        <f>VLOOKUP(E54,Table1[[#All],[Campo]],1,0)</f>
        <v>grss_intrst_incm</v>
      </c>
      <c r="B54" s="14" t="s">
        <v>1517</v>
      </c>
      <c r="C54" s="14" t="s">
        <v>1518</v>
      </c>
      <c r="D54" s="14" t="s">
        <v>1396</v>
      </c>
      <c r="E54" s="14" t="s">
        <v>1519</v>
      </c>
      <c r="F54" s="14" t="s">
        <v>1484</v>
      </c>
      <c r="G54" s="14" t="s">
        <v>1465</v>
      </c>
      <c r="H54" s="14" t="s">
        <v>623</v>
      </c>
      <c r="I54" s="14">
        <v>2003033</v>
      </c>
      <c r="J54" s="14">
        <v>0</v>
      </c>
      <c r="K54" s="14">
        <v>0</v>
      </c>
    </row>
    <row r="55" spans="1:11">
      <c r="A55" s="16" t="s">
        <v>1520</v>
      </c>
      <c r="B55" s="14" t="s">
        <v>1521</v>
      </c>
      <c r="C55" s="14" t="s">
        <v>1522</v>
      </c>
      <c r="D55" s="14" t="s">
        <v>1396</v>
      </c>
      <c r="E55" s="14" t="s">
        <v>1523</v>
      </c>
      <c r="F55" s="14" t="s">
        <v>1484</v>
      </c>
      <c r="G55" s="14" t="s">
        <v>1465</v>
      </c>
      <c r="H55" s="14" t="s">
        <v>623</v>
      </c>
      <c r="I55" s="14">
        <v>2003033</v>
      </c>
      <c r="J55" s="14">
        <v>0</v>
      </c>
      <c r="K55" s="14">
        <v>0</v>
      </c>
    </row>
    <row r="56" spans="1:11">
      <c r="A56" s="16" t="e">
        <f>VLOOKUP(E56,Table1[[#All],[Campo]],1,0)</f>
        <v>#N/A</v>
      </c>
      <c r="B56" s="14" t="s">
        <v>1524</v>
      </c>
      <c r="C56" s="14" t="s">
        <v>1525</v>
      </c>
      <c r="D56" s="14" t="s">
        <v>1396</v>
      </c>
      <c r="E56" s="14" t="s">
        <v>1526</v>
      </c>
      <c r="F56" s="14" t="s">
        <v>1484</v>
      </c>
      <c r="G56" s="14" t="s">
        <v>1465</v>
      </c>
      <c r="H56" s="14" t="s">
        <v>623</v>
      </c>
      <c r="I56" s="14">
        <v>2003033</v>
      </c>
      <c r="J56" s="14">
        <v>0</v>
      </c>
      <c r="K56" s="14">
        <v>0</v>
      </c>
    </row>
    <row r="57" spans="1:11">
      <c r="A57" s="16" t="e">
        <f>VLOOKUP(E57,Table1[[#All],[Campo]],1,0)</f>
        <v>#N/A</v>
      </c>
      <c r="B57" s="14" t="s">
        <v>1527</v>
      </c>
      <c r="C57" s="14" t="s">
        <v>1528</v>
      </c>
      <c r="D57" s="14" t="s">
        <v>1396</v>
      </c>
      <c r="E57" s="14" t="s">
        <v>1529</v>
      </c>
      <c r="F57" s="14" t="s">
        <v>1484</v>
      </c>
      <c r="G57" s="14" t="s">
        <v>1465</v>
      </c>
      <c r="H57" s="14" t="s">
        <v>623</v>
      </c>
      <c r="I57" s="14">
        <v>2003033</v>
      </c>
      <c r="J57" s="14">
        <v>0</v>
      </c>
      <c r="K57" s="14">
        <v>0</v>
      </c>
    </row>
    <row r="58" spans="1:11">
      <c r="A58" s="16" t="e">
        <f>VLOOKUP(E58,Table1[[#All],[Campo]],1,0)</f>
        <v>#N/A</v>
      </c>
      <c r="B58" s="14" t="s">
        <v>1530</v>
      </c>
      <c r="C58" s="14" t="s">
        <v>1531</v>
      </c>
      <c r="D58" s="14" t="s">
        <v>1396</v>
      </c>
      <c r="E58" s="14" t="s">
        <v>1418</v>
      </c>
      <c r="F58" s="14" t="s">
        <v>1451</v>
      </c>
      <c r="G58" s="14" t="s">
        <v>1465</v>
      </c>
      <c r="H58" s="14" t="s">
        <v>1399</v>
      </c>
      <c r="I58" s="14">
        <v>2003033</v>
      </c>
      <c r="J58" s="14">
        <v>2003033</v>
      </c>
      <c r="K58" s="14">
        <v>100</v>
      </c>
    </row>
    <row r="59" spans="1:11">
      <c r="A59" s="16" t="e">
        <f>VLOOKUP(E59,Table1[[#All],[Campo]],1,0)</f>
        <v>#N/A</v>
      </c>
      <c r="B59" s="14" t="s">
        <v>1532</v>
      </c>
      <c r="C59" s="14" t="s">
        <v>1533</v>
      </c>
      <c r="D59" s="14" t="s">
        <v>1396</v>
      </c>
      <c r="E59" s="14" t="s">
        <v>1534</v>
      </c>
      <c r="F59" s="14" t="s">
        <v>1451</v>
      </c>
      <c r="G59" s="14" t="s">
        <v>1465</v>
      </c>
      <c r="H59" s="14" t="s">
        <v>1399</v>
      </c>
      <c r="I59" s="14">
        <v>2003033</v>
      </c>
      <c r="J59" s="14">
        <v>2003033</v>
      </c>
      <c r="K59" s="14">
        <v>100</v>
      </c>
    </row>
    <row r="60" spans="1:11">
      <c r="A60" s="16" t="s">
        <v>1535</v>
      </c>
      <c r="B60" s="14" t="s">
        <v>1536</v>
      </c>
      <c r="C60" s="14" t="s">
        <v>1537</v>
      </c>
      <c r="D60" s="14" t="s">
        <v>1396</v>
      </c>
      <c r="E60" s="14" t="s">
        <v>1538</v>
      </c>
      <c r="F60" s="14" t="s">
        <v>1484</v>
      </c>
      <c r="G60" s="14" t="s">
        <v>1465</v>
      </c>
      <c r="H60" s="14" t="s">
        <v>623</v>
      </c>
      <c r="I60" s="14">
        <v>2003033</v>
      </c>
      <c r="J60" s="14">
        <v>0</v>
      </c>
      <c r="K60" s="14">
        <v>0</v>
      </c>
    </row>
    <row r="61" spans="1:11">
      <c r="A61" s="16" t="e">
        <f>VLOOKUP(E61,Table1[[#All],[Campo]],1,0)</f>
        <v>#N/A</v>
      </c>
      <c r="B61" s="14" t="s">
        <v>1539</v>
      </c>
      <c r="C61" s="14" t="s">
        <v>1540</v>
      </c>
      <c r="D61" s="14" t="s">
        <v>1396</v>
      </c>
      <c r="E61" s="14" t="s">
        <v>1541</v>
      </c>
      <c r="F61" s="14" t="s">
        <v>1484</v>
      </c>
      <c r="G61" s="14" t="s">
        <v>1465</v>
      </c>
      <c r="H61" s="14" t="s">
        <v>623</v>
      </c>
      <c r="I61" s="14">
        <v>2003033</v>
      </c>
      <c r="J61" s="14">
        <v>0</v>
      </c>
      <c r="K61" s="14">
        <v>0</v>
      </c>
    </row>
    <row r="62" spans="1:11">
      <c r="A62" s="16" t="e">
        <f>VLOOKUP(E62,Table1[[#All],[Campo]],1,0)</f>
        <v>#N/A</v>
      </c>
      <c r="B62" s="14" t="s">
        <v>1542</v>
      </c>
      <c r="C62" s="14" t="s">
        <v>1543</v>
      </c>
      <c r="D62" s="14" t="s">
        <v>1396</v>
      </c>
      <c r="E62" s="14" t="s">
        <v>1421</v>
      </c>
      <c r="F62" s="14" t="s">
        <v>1451</v>
      </c>
      <c r="G62" s="14" t="s">
        <v>1465</v>
      </c>
      <c r="H62" s="14" t="s">
        <v>1399</v>
      </c>
      <c r="I62" s="14">
        <v>2003033</v>
      </c>
      <c r="J62" s="14">
        <v>2003033</v>
      </c>
      <c r="K62" s="14">
        <v>100</v>
      </c>
    </row>
    <row r="63" spans="1:11">
      <c r="A63" s="16" t="e">
        <f>VLOOKUP(E63,Table1[[#All],[Campo]],1,0)</f>
        <v>#N/A</v>
      </c>
      <c r="B63" s="14" t="s">
        <v>1544</v>
      </c>
      <c r="C63" s="14" t="s">
        <v>1545</v>
      </c>
      <c r="D63" s="14" t="s">
        <v>1396</v>
      </c>
      <c r="E63" s="14" t="s">
        <v>1546</v>
      </c>
      <c r="F63" s="14" t="s">
        <v>1451</v>
      </c>
      <c r="G63" s="14" t="s">
        <v>1465</v>
      </c>
      <c r="H63" s="14" t="s">
        <v>1399</v>
      </c>
      <c r="I63" s="14">
        <v>2003033</v>
      </c>
      <c r="J63" s="14">
        <v>2003033</v>
      </c>
      <c r="K63" s="14">
        <v>100</v>
      </c>
    </row>
    <row r="64" spans="1:11">
      <c r="A64" s="16" t="e">
        <f>VLOOKUP(E64,Table1[[#All],[Campo]],1,0)</f>
        <v>#N/A</v>
      </c>
      <c r="B64" s="14" t="s">
        <v>1547</v>
      </c>
      <c r="C64" s="14" t="s">
        <v>1548</v>
      </c>
      <c r="D64" s="14" t="s">
        <v>1396</v>
      </c>
      <c r="E64" s="14" t="s">
        <v>1549</v>
      </c>
      <c r="F64" s="14" t="s">
        <v>1451</v>
      </c>
      <c r="G64" s="14" t="s">
        <v>1465</v>
      </c>
      <c r="H64" s="14" t="s">
        <v>1399</v>
      </c>
      <c r="I64" s="14">
        <v>2003033</v>
      </c>
      <c r="J64" s="14">
        <v>2003033</v>
      </c>
      <c r="K64" s="14">
        <v>100</v>
      </c>
    </row>
    <row r="65" spans="1:11">
      <c r="A65" s="16" t="e">
        <f>VLOOKUP(E65,Table1[[#All],[Campo]],1,0)</f>
        <v>#N/A</v>
      </c>
      <c r="B65" s="14" t="s">
        <v>1550</v>
      </c>
      <c r="C65" s="14" t="s">
        <v>1551</v>
      </c>
      <c r="D65" s="14" t="s">
        <v>1396</v>
      </c>
      <c r="E65" s="14" t="s">
        <v>1552</v>
      </c>
      <c r="F65" s="14" t="s">
        <v>1451</v>
      </c>
      <c r="G65" s="14" t="s">
        <v>1465</v>
      </c>
      <c r="H65" s="14" t="s">
        <v>1399</v>
      </c>
      <c r="I65" s="14">
        <v>2003033</v>
      </c>
      <c r="J65" s="14">
        <v>2003033</v>
      </c>
      <c r="K65" s="14">
        <v>100</v>
      </c>
    </row>
    <row r="66" spans="1:11">
      <c r="A66" s="16" t="e">
        <f>VLOOKUP(E66,Table1[[#All],[Campo]],1,0)</f>
        <v>#N/A</v>
      </c>
      <c r="B66" s="14" t="s">
        <v>1553</v>
      </c>
      <c r="C66" s="14" t="s">
        <v>1554</v>
      </c>
      <c r="D66" s="14" t="s">
        <v>1396</v>
      </c>
      <c r="E66" s="14" t="s">
        <v>1555</v>
      </c>
      <c r="F66" s="14" t="s">
        <v>1484</v>
      </c>
      <c r="G66" s="14" t="s">
        <v>1465</v>
      </c>
      <c r="H66" s="14" t="s">
        <v>623</v>
      </c>
      <c r="I66" s="14">
        <v>2003033</v>
      </c>
      <c r="J66" s="14">
        <v>0</v>
      </c>
      <c r="K66" s="14">
        <v>0</v>
      </c>
    </row>
    <row r="67" spans="1:11">
      <c r="A67" s="16" t="e">
        <f>VLOOKUP(E67,Table1[[#All],[Campo]],1,0)</f>
        <v>#N/A</v>
      </c>
      <c r="B67" s="14" t="s">
        <v>1556</v>
      </c>
      <c r="C67" s="14" t="s">
        <v>1557</v>
      </c>
      <c r="D67" s="14" t="s">
        <v>1396</v>
      </c>
      <c r="E67" s="14" t="s">
        <v>1558</v>
      </c>
      <c r="F67" s="14" t="s">
        <v>1484</v>
      </c>
      <c r="G67" s="14" t="s">
        <v>1465</v>
      </c>
      <c r="H67" s="14" t="s">
        <v>623</v>
      </c>
      <c r="I67" s="14">
        <v>2003033</v>
      </c>
      <c r="J67" s="14">
        <v>0</v>
      </c>
      <c r="K67" s="14">
        <v>0</v>
      </c>
    </row>
    <row r="68" spans="1:11">
      <c r="A68" s="16" t="s">
        <v>1559</v>
      </c>
      <c r="B68" s="14" t="s">
        <v>1560</v>
      </c>
      <c r="C68" s="14" t="s">
        <v>1561</v>
      </c>
      <c r="D68" s="14" t="s">
        <v>1396</v>
      </c>
      <c r="E68" s="14" t="s">
        <v>1562</v>
      </c>
      <c r="F68" s="14" t="s">
        <v>1484</v>
      </c>
      <c r="G68" s="14" t="s">
        <v>1465</v>
      </c>
      <c r="H68" s="14" t="s">
        <v>623</v>
      </c>
      <c r="I68" s="14">
        <v>2003033</v>
      </c>
      <c r="J68" s="14">
        <v>0</v>
      </c>
      <c r="K68" s="14">
        <v>0</v>
      </c>
    </row>
    <row r="69" spans="1:11">
      <c r="A69" s="16" t="s">
        <v>1563</v>
      </c>
      <c r="B69" s="14" t="s">
        <v>1564</v>
      </c>
      <c r="C69" s="14" t="s">
        <v>1565</v>
      </c>
      <c r="D69" s="14" t="s">
        <v>1396</v>
      </c>
      <c r="E69" s="14" t="s">
        <v>1566</v>
      </c>
      <c r="F69" s="14" t="s">
        <v>1484</v>
      </c>
      <c r="G69" s="14" t="s">
        <v>1465</v>
      </c>
      <c r="H69" s="14" t="s">
        <v>623</v>
      </c>
      <c r="I69" s="14">
        <v>2003033</v>
      </c>
      <c r="J69" s="14">
        <v>0</v>
      </c>
      <c r="K69" s="14">
        <v>0</v>
      </c>
    </row>
    <row r="70" spans="1:11">
      <c r="A70" s="16" t="e">
        <f>VLOOKUP(E70,Table1[[#All],[Campo]],1,0)</f>
        <v>#N/A</v>
      </c>
      <c r="B70" s="14" t="s">
        <v>1567</v>
      </c>
      <c r="C70" s="14" t="s">
        <v>1568</v>
      </c>
      <c r="D70" s="14" t="s">
        <v>1396</v>
      </c>
      <c r="E70" s="14" t="s">
        <v>1569</v>
      </c>
      <c r="F70" s="14" t="s">
        <v>1484</v>
      </c>
      <c r="G70" s="14" t="s">
        <v>1465</v>
      </c>
      <c r="H70" s="14" t="s">
        <v>623</v>
      </c>
      <c r="I70" s="14">
        <v>2003033</v>
      </c>
      <c r="J70" s="14">
        <v>0</v>
      </c>
      <c r="K70" s="14">
        <v>0</v>
      </c>
    </row>
    <row r="71" spans="1:11">
      <c r="A71" s="16" t="e">
        <f>VLOOKUP(E71,Table1[[#All],[Campo]],1,0)</f>
        <v>#N/A</v>
      </c>
      <c r="B71" s="14" t="s">
        <v>1570</v>
      </c>
      <c r="C71" s="14" t="s">
        <v>1571</v>
      </c>
      <c r="D71" s="14" t="s">
        <v>1396</v>
      </c>
      <c r="E71" s="14" t="s">
        <v>1572</v>
      </c>
      <c r="F71" s="14" t="s">
        <v>1484</v>
      </c>
      <c r="G71" s="14" t="s">
        <v>1465</v>
      </c>
      <c r="H71" s="14" t="s">
        <v>623</v>
      </c>
      <c r="I71" s="14">
        <v>2003033</v>
      </c>
      <c r="J71" s="14">
        <v>0</v>
      </c>
      <c r="K71" s="14">
        <v>0</v>
      </c>
    </row>
    <row r="72" spans="1:11">
      <c r="A72" s="16" t="e">
        <f>VLOOKUP(E72,Table1[[#All],[Campo]],1,0)</f>
        <v>#N/A</v>
      </c>
      <c r="B72" s="14" t="s">
        <v>1573</v>
      </c>
      <c r="C72" s="14" t="s">
        <v>1574</v>
      </c>
      <c r="D72" s="14" t="s">
        <v>1396</v>
      </c>
      <c r="E72" s="14" t="s">
        <v>1575</v>
      </c>
      <c r="F72" s="14" t="s">
        <v>1484</v>
      </c>
      <c r="G72" s="14" t="s">
        <v>1465</v>
      </c>
      <c r="H72" s="14" t="s">
        <v>623</v>
      </c>
      <c r="I72" s="14">
        <v>2003033</v>
      </c>
      <c r="J72" s="14">
        <v>0</v>
      </c>
      <c r="K72" s="14">
        <v>0</v>
      </c>
    </row>
    <row r="73" spans="1:11">
      <c r="A73" s="16" t="e">
        <f>VLOOKUP(E73,Table1[[#All],[Campo]],1,0)</f>
        <v>#N/A</v>
      </c>
      <c r="B73" s="14" t="s">
        <v>1576</v>
      </c>
      <c r="C73" s="14" t="s">
        <v>1577</v>
      </c>
      <c r="D73" s="14" t="s">
        <v>1396</v>
      </c>
      <c r="E73" s="14" t="s">
        <v>1578</v>
      </c>
      <c r="F73" s="14" t="s">
        <v>1484</v>
      </c>
      <c r="G73" s="14" t="s">
        <v>1465</v>
      </c>
      <c r="H73" s="14" t="s">
        <v>623</v>
      </c>
      <c r="I73" s="14">
        <v>2003033</v>
      </c>
      <c r="J73" s="14">
        <v>0</v>
      </c>
      <c r="K73" s="14">
        <v>0</v>
      </c>
    </row>
    <row r="74" spans="1:11">
      <c r="A74" s="16" t="e">
        <f>VLOOKUP(E74,Table1[[#All],[Campo]],1,0)</f>
        <v>#N/A</v>
      </c>
      <c r="B74" s="14" t="s">
        <v>1579</v>
      </c>
      <c r="C74" s="14" t="s">
        <v>1580</v>
      </c>
      <c r="D74" s="14" t="s">
        <v>1396</v>
      </c>
      <c r="E74" s="14" t="s">
        <v>1581</v>
      </c>
      <c r="F74" s="14" t="s">
        <v>1484</v>
      </c>
      <c r="G74" s="14" t="s">
        <v>1465</v>
      </c>
      <c r="H74" s="14" t="s">
        <v>623</v>
      </c>
      <c r="I74" s="14">
        <v>2003033</v>
      </c>
      <c r="J74" s="14">
        <v>0</v>
      </c>
      <c r="K74" s="14">
        <v>0</v>
      </c>
    </row>
    <row r="75" spans="1:11">
      <c r="A75" s="16" t="s">
        <v>1582</v>
      </c>
      <c r="B75" s="14" t="s">
        <v>1583</v>
      </c>
      <c r="C75" s="14" t="s">
        <v>1584</v>
      </c>
      <c r="D75" s="14" t="s">
        <v>1396</v>
      </c>
      <c r="E75" s="14" t="s">
        <v>1585</v>
      </c>
      <c r="F75" s="14" t="s">
        <v>1484</v>
      </c>
      <c r="G75" s="14" t="s">
        <v>1465</v>
      </c>
      <c r="H75" s="14" t="s">
        <v>623</v>
      </c>
      <c r="I75" s="14">
        <v>2003033</v>
      </c>
      <c r="J75" s="14">
        <v>0</v>
      </c>
      <c r="K75" s="14">
        <v>0</v>
      </c>
    </row>
    <row r="76" spans="1:11">
      <c r="A76" s="16" t="s">
        <v>1586</v>
      </c>
      <c r="B76" s="14" t="s">
        <v>1587</v>
      </c>
      <c r="C76" s="14" t="s">
        <v>1588</v>
      </c>
      <c r="D76" s="14" t="s">
        <v>1396</v>
      </c>
      <c r="E76" s="14" t="s">
        <v>1589</v>
      </c>
      <c r="F76" s="14" t="s">
        <v>1484</v>
      </c>
      <c r="G76" s="14" t="s">
        <v>1465</v>
      </c>
      <c r="H76" s="14" t="s">
        <v>623</v>
      </c>
      <c r="I76" s="14">
        <v>2003033</v>
      </c>
      <c r="J76" s="14">
        <v>0</v>
      </c>
      <c r="K76" s="14">
        <v>0</v>
      </c>
    </row>
    <row r="77" spans="1:11">
      <c r="A77" s="16" t="e">
        <f>VLOOKUP(E77,Table1[[#All],[Campo]],1,0)</f>
        <v>#N/A</v>
      </c>
      <c r="B77" s="14" t="s">
        <v>1590</v>
      </c>
      <c r="C77" s="14" t="s">
        <v>1591</v>
      </c>
      <c r="D77" s="14" t="s">
        <v>1396</v>
      </c>
      <c r="E77" s="14" t="s">
        <v>1592</v>
      </c>
      <c r="F77" s="14" t="s">
        <v>1484</v>
      </c>
      <c r="G77" s="14" t="s">
        <v>1465</v>
      </c>
      <c r="H77" s="14" t="s">
        <v>623</v>
      </c>
      <c r="I77" s="14">
        <v>2003033</v>
      </c>
      <c r="J77" s="14">
        <v>0</v>
      </c>
      <c r="K77" s="14">
        <v>0</v>
      </c>
    </row>
    <row r="78" spans="1:11">
      <c r="A78" s="16" t="e">
        <f>VLOOKUP(E78,Table1[[#All],[Campo]],1,0)</f>
        <v>#N/A</v>
      </c>
      <c r="B78" s="14" t="s">
        <v>1593</v>
      </c>
      <c r="C78" s="14" t="s">
        <v>1594</v>
      </c>
      <c r="D78" s="14" t="s">
        <v>1396</v>
      </c>
      <c r="E78" s="14" t="s">
        <v>1424</v>
      </c>
      <c r="F78" s="14" t="s">
        <v>1451</v>
      </c>
      <c r="G78" s="14" t="s">
        <v>1465</v>
      </c>
      <c r="H78" s="14" t="s">
        <v>1399</v>
      </c>
      <c r="I78" s="14">
        <v>2003033</v>
      </c>
      <c r="J78" s="14">
        <v>2003033</v>
      </c>
      <c r="K78" s="14">
        <v>100</v>
      </c>
    </row>
    <row r="79" spans="1:11">
      <c r="A79" s="16" t="s">
        <v>1595</v>
      </c>
      <c r="B79" s="14" t="s">
        <v>1596</v>
      </c>
      <c r="C79" s="14" t="s">
        <v>1597</v>
      </c>
      <c r="D79" s="14" t="s">
        <v>1396</v>
      </c>
      <c r="E79" s="14" t="s">
        <v>1598</v>
      </c>
      <c r="F79" s="14" t="s">
        <v>1484</v>
      </c>
      <c r="G79" s="14" t="s">
        <v>1465</v>
      </c>
      <c r="H79" s="14" t="s">
        <v>623</v>
      </c>
      <c r="I79" s="14">
        <v>2003033</v>
      </c>
      <c r="J79" s="14">
        <v>0</v>
      </c>
      <c r="K79" s="14">
        <v>0</v>
      </c>
    </row>
    <row r="80" spans="1:11">
      <c r="A80" s="16" t="s">
        <v>1599</v>
      </c>
      <c r="B80" s="14" t="s">
        <v>1600</v>
      </c>
      <c r="C80" s="14" t="s">
        <v>1601</v>
      </c>
      <c r="D80" s="14" t="s">
        <v>1396</v>
      </c>
      <c r="E80" s="14" t="s">
        <v>1602</v>
      </c>
      <c r="F80" s="14" t="s">
        <v>1484</v>
      </c>
      <c r="G80" s="14" t="s">
        <v>1465</v>
      </c>
      <c r="H80" s="14" t="s">
        <v>623</v>
      </c>
      <c r="I80" s="14">
        <v>2003033</v>
      </c>
      <c r="J80" s="14">
        <v>0</v>
      </c>
      <c r="K80" s="14">
        <v>0</v>
      </c>
    </row>
    <row r="81" spans="1:11">
      <c r="A81" s="16" t="s">
        <v>1425</v>
      </c>
      <c r="B81" s="14" t="s">
        <v>1603</v>
      </c>
      <c r="C81" s="14" t="s">
        <v>1604</v>
      </c>
      <c r="D81" s="14" t="s">
        <v>1396</v>
      </c>
      <c r="E81" s="14" t="s">
        <v>1428</v>
      </c>
      <c r="F81" s="14" t="s">
        <v>1451</v>
      </c>
      <c r="G81" s="14" t="s">
        <v>1465</v>
      </c>
      <c r="H81" s="14" t="s">
        <v>1399</v>
      </c>
      <c r="I81" s="14">
        <v>2003033</v>
      </c>
      <c r="J81" s="14">
        <v>2003033</v>
      </c>
      <c r="K81" s="14">
        <v>100</v>
      </c>
    </row>
    <row r="82" spans="1:11">
      <c r="A82" s="16" t="str">
        <f>VLOOKUP(E82,Table1[[#All],[Campo]],1,0)</f>
        <v>idcmb</v>
      </c>
      <c r="B82" s="14" t="s">
        <v>1605</v>
      </c>
      <c r="C82" s="14" t="s">
        <v>1606</v>
      </c>
      <c r="D82" s="14" t="s">
        <v>1396</v>
      </c>
      <c r="E82" s="14" t="s">
        <v>1431</v>
      </c>
      <c r="F82" s="14" t="s">
        <v>1451</v>
      </c>
      <c r="G82" s="14" t="s">
        <v>1465</v>
      </c>
      <c r="H82" s="14" t="s">
        <v>1399</v>
      </c>
      <c r="I82" s="14">
        <v>2003033</v>
      </c>
      <c r="J82" s="14">
        <v>2003033</v>
      </c>
      <c r="K82" s="14">
        <v>100</v>
      </c>
    </row>
    <row r="83" spans="1:11">
      <c r="A83" s="16" t="str">
        <f>VLOOKUP(E83,Table1[[#All],[Campo]],1,0)</f>
        <v>cod_soc</v>
      </c>
      <c r="B83" s="14" t="s">
        <v>1607</v>
      </c>
      <c r="C83" s="14" t="s">
        <v>1449</v>
      </c>
      <c r="D83" s="14" t="s">
        <v>1447</v>
      </c>
      <c r="E83" s="14" t="s">
        <v>1374</v>
      </c>
      <c r="F83" s="14" t="s">
        <v>1451</v>
      </c>
      <c r="G83" s="14" t="s">
        <v>1608</v>
      </c>
      <c r="H83" s="14" t="s">
        <v>623</v>
      </c>
      <c r="I83" s="14">
        <v>731165</v>
      </c>
      <c r="J83" s="14">
        <v>0</v>
      </c>
      <c r="K83" s="14">
        <v>0</v>
      </c>
    </row>
    <row r="84" spans="1:11">
      <c r="A84" s="16" t="str">
        <f>VLOOKUP(E84,Table1[[#All],[Campo]],1,0)</f>
        <v>dt_rfrnc</v>
      </c>
      <c r="B84" s="14" t="s">
        <v>1609</v>
      </c>
      <c r="C84" s="14" t="s">
        <v>1460</v>
      </c>
      <c r="D84" s="14" t="s">
        <v>1447</v>
      </c>
      <c r="E84" s="14" t="s">
        <v>1379</v>
      </c>
      <c r="F84" s="14" t="s">
        <v>1455</v>
      </c>
      <c r="G84" s="14" t="s">
        <v>1608</v>
      </c>
      <c r="H84" s="14" t="s">
        <v>623</v>
      </c>
      <c r="I84" s="14">
        <v>731165</v>
      </c>
      <c r="J84" s="14">
        <v>0</v>
      </c>
      <c r="K84" s="14">
        <v>0</v>
      </c>
    </row>
    <row r="85" spans="1:11">
      <c r="A85" s="16" t="str">
        <f>VLOOKUP(E85,Table1[[#All],[Campo]],1,0)</f>
        <v>instrmnt_id</v>
      </c>
      <c r="B85" s="14" t="s">
        <v>1610</v>
      </c>
      <c r="C85" s="14" t="s">
        <v>1462</v>
      </c>
      <c r="D85" s="14" t="s">
        <v>1447</v>
      </c>
      <c r="E85" s="14" t="s">
        <v>1388</v>
      </c>
      <c r="F85" s="14" t="s">
        <v>1463</v>
      </c>
      <c r="G85" s="14" t="s">
        <v>1608</v>
      </c>
      <c r="H85" s="14" t="s">
        <v>623</v>
      </c>
      <c r="I85" s="14">
        <v>731165</v>
      </c>
      <c r="J85" s="14">
        <v>0</v>
      </c>
      <c r="K85" s="14">
        <v>0</v>
      </c>
    </row>
    <row r="86" spans="1:11">
      <c r="A86" s="16" t="str">
        <f>VLOOKUP(E86,Table1[[#All],[Campo]],1,0)</f>
        <v>cod_soc</v>
      </c>
      <c r="B86" s="14" t="s">
        <v>1611</v>
      </c>
      <c r="C86" s="14" t="s">
        <v>1449</v>
      </c>
      <c r="D86" s="14" t="s">
        <v>1612</v>
      </c>
      <c r="E86" s="14" t="s">
        <v>1374</v>
      </c>
      <c r="F86" s="14" t="s">
        <v>1451</v>
      </c>
      <c r="G86" s="14" t="s">
        <v>1613</v>
      </c>
      <c r="H86" s="14" t="s">
        <v>623</v>
      </c>
      <c r="I86" s="14">
        <v>456960</v>
      </c>
      <c r="J86" s="14">
        <v>0</v>
      </c>
      <c r="K86" s="14">
        <v>0</v>
      </c>
    </row>
    <row r="87" spans="1:11">
      <c r="A87" s="16" t="str">
        <f>VLOOKUP(E87,Table1[[#All],[Campo]],1,0)</f>
        <v>dt_rfrnc</v>
      </c>
      <c r="B87" s="14" t="s">
        <v>1614</v>
      </c>
      <c r="C87" s="14" t="s">
        <v>1460</v>
      </c>
      <c r="D87" s="14" t="s">
        <v>1612</v>
      </c>
      <c r="E87" s="14" t="s">
        <v>1379</v>
      </c>
      <c r="F87" s="14" t="s">
        <v>1455</v>
      </c>
      <c r="G87" s="14" t="s">
        <v>1613</v>
      </c>
      <c r="H87" s="14" t="s">
        <v>623</v>
      </c>
      <c r="I87" s="14">
        <v>456960</v>
      </c>
      <c r="J87" s="14">
        <v>0</v>
      </c>
      <c r="K87" s="14">
        <v>0</v>
      </c>
    </row>
    <row r="88" spans="1:11">
      <c r="A88" s="16" t="str">
        <f>VLOOKUP(E88,Table1[[#All],[Campo]],1,0)</f>
        <v>instrmnt_id</v>
      </c>
      <c r="B88" s="14" t="s">
        <v>1615</v>
      </c>
      <c r="C88" s="14" t="s">
        <v>1616</v>
      </c>
      <c r="D88" s="14" t="s">
        <v>1457</v>
      </c>
      <c r="E88" s="14" t="s">
        <v>1388</v>
      </c>
      <c r="F88" s="14" t="s">
        <v>1617</v>
      </c>
      <c r="G88" s="14" t="s">
        <v>1618</v>
      </c>
      <c r="H88" s="14" t="s">
        <v>623</v>
      </c>
      <c r="I88" s="14">
        <v>2490665</v>
      </c>
      <c r="J88" s="14">
        <v>0</v>
      </c>
      <c r="K88" s="14">
        <v>0</v>
      </c>
    </row>
    <row r="89" spans="1:11">
      <c r="A89" s="16" t="str">
        <f>VLOOKUP(E89,Table1[[#All],[Campo]],1,0)</f>
        <v>typ_instrmnt</v>
      </c>
      <c r="B89" s="14" t="s">
        <v>1619</v>
      </c>
      <c r="C89" s="14" t="s">
        <v>1620</v>
      </c>
      <c r="D89" s="14" t="s">
        <v>1396</v>
      </c>
      <c r="E89" s="14" t="s">
        <v>1480</v>
      </c>
      <c r="F89" s="14" t="s">
        <v>1617</v>
      </c>
      <c r="G89" s="14" t="s">
        <v>1618</v>
      </c>
      <c r="H89" s="14" t="s">
        <v>623</v>
      </c>
      <c r="I89" s="14">
        <v>2001306</v>
      </c>
      <c r="J89" s="14">
        <v>0</v>
      </c>
      <c r="K89" s="14">
        <v>0</v>
      </c>
    </row>
    <row r="90" spans="1:11">
      <c r="A90" s="16" t="str">
        <f>VLOOKUP(E90,Table1[[#All],[Campo]],1,0)</f>
        <v>instrmnt_id</v>
      </c>
      <c r="B90" s="14" t="s">
        <v>1621</v>
      </c>
      <c r="C90" s="14" t="s">
        <v>1622</v>
      </c>
      <c r="D90" s="14" t="s">
        <v>1447</v>
      </c>
      <c r="E90" s="14" t="s">
        <v>1388</v>
      </c>
      <c r="F90" s="14" t="s">
        <v>1617</v>
      </c>
      <c r="G90" s="14" t="s">
        <v>1618</v>
      </c>
      <c r="H90" s="14" t="s">
        <v>623</v>
      </c>
      <c r="I90" s="14">
        <v>731165</v>
      </c>
      <c r="J90" s="14">
        <v>0</v>
      </c>
      <c r="K90" s="14">
        <v>0</v>
      </c>
    </row>
    <row r="91" spans="1:11">
      <c r="A91" s="16" t="str">
        <f>VLOOKUP(E91,Table1[[#All],[Campo]],1,0)</f>
        <v>dt_rfrnc</v>
      </c>
      <c r="B91" s="14" t="s">
        <v>1623</v>
      </c>
      <c r="C91" s="14" t="s">
        <v>1624</v>
      </c>
      <c r="D91" s="14" t="s">
        <v>1373</v>
      </c>
      <c r="E91" s="14" t="s">
        <v>1379</v>
      </c>
      <c r="F91" s="14" t="s">
        <v>1625</v>
      </c>
      <c r="G91" s="14" t="s">
        <v>1626</v>
      </c>
      <c r="H91" s="14" t="s">
        <v>623</v>
      </c>
      <c r="I91" s="14">
        <v>1096295</v>
      </c>
      <c r="J91" s="14">
        <v>0</v>
      </c>
      <c r="K91" s="14">
        <v>0</v>
      </c>
    </row>
    <row r="92" spans="1:11">
      <c r="A92" s="16" t="str">
        <f>VLOOKUP(E92,Table1[[#All],[Campo]],1,0)</f>
        <v>dt_rfrnc</v>
      </c>
      <c r="B92" s="14" t="s">
        <v>1627</v>
      </c>
      <c r="C92" s="14" t="s">
        <v>1628</v>
      </c>
      <c r="D92" s="14" t="s">
        <v>1382</v>
      </c>
      <c r="E92" s="14" t="s">
        <v>1379</v>
      </c>
      <c r="F92" s="14" t="s">
        <v>1625</v>
      </c>
      <c r="G92" s="14" t="s">
        <v>1629</v>
      </c>
      <c r="H92" s="14" t="s">
        <v>623</v>
      </c>
      <c r="I92" s="14">
        <v>2490665</v>
      </c>
      <c r="J92" s="14">
        <v>0</v>
      </c>
      <c r="K92" s="14">
        <v>0</v>
      </c>
    </row>
    <row r="93" spans="1:11">
      <c r="A93" s="16" t="str">
        <f>VLOOKUP(E93,Table1[[#All],[Campo]],1,0)</f>
        <v>dt_rfrnc</v>
      </c>
      <c r="B93" s="14" t="s">
        <v>1630</v>
      </c>
      <c r="C93" s="14" t="s">
        <v>1628</v>
      </c>
      <c r="D93" s="14" t="s">
        <v>1390</v>
      </c>
      <c r="E93" s="14" t="s">
        <v>1379</v>
      </c>
      <c r="F93" s="14" t="s">
        <v>1625</v>
      </c>
      <c r="G93" s="14" t="s">
        <v>1631</v>
      </c>
      <c r="H93" s="14" t="s">
        <v>623</v>
      </c>
      <c r="I93" s="14">
        <v>2002411</v>
      </c>
      <c r="J93" s="14">
        <v>0</v>
      </c>
      <c r="K93" s="14">
        <v>0</v>
      </c>
    </row>
    <row r="94" spans="1:11">
      <c r="A94" s="16" t="str">
        <f>VLOOKUP(E94,Table1[[#All],[Campo]],1,0)</f>
        <v>imprmnt_stts</v>
      </c>
      <c r="B94" s="14" t="s">
        <v>1632</v>
      </c>
      <c r="C94" s="14" t="s">
        <v>1633</v>
      </c>
      <c r="D94" s="14" t="s">
        <v>1390</v>
      </c>
      <c r="E94" s="14" t="s">
        <v>1475</v>
      </c>
      <c r="F94" s="14" t="s">
        <v>1451</v>
      </c>
      <c r="G94" s="14" t="s">
        <v>1631</v>
      </c>
      <c r="H94" s="14" t="s">
        <v>623</v>
      </c>
      <c r="I94" s="14">
        <v>2002411</v>
      </c>
      <c r="J94" s="14">
        <v>0</v>
      </c>
      <c r="K94" s="14">
        <v>0</v>
      </c>
    </row>
    <row r="95" spans="1:11">
      <c r="A95" s="16" t="e">
        <f>VLOOKUP(E95,Table1[[#All],[Campo]],1,0)</f>
        <v>#N/A</v>
      </c>
      <c r="B95" s="14" t="s">
        <v>1634</v>
      </c>
      <c r="C95" s="14" t="s">
        <v>1635</v>
      </c>
      <c r="D95" s="14" t="s">
        <v>1390</v>
      </c>
      <c r="E95" s="14" t="s">
        <v>1569</v>
      </c>
      <c r="F95" s="14" t="s">
        <v>1451</v>
      </c>
      <c r="G95" s="14" t="s">
        <v>1631</v>
      </c>
      <c r="H95" s="14" t="s">
        <v>623</v>
      </c>
      <c r="I95" s="14">
        <v>2002411</v>
      </c>
      <c r="J95" s="14">
        <v>0</v>
      </c>
      <c r="K95" s="14">
        <v>0</v>
      </c>
    </row>
    <row r="96" spans="1:11">
      <c r="A96" s="16" t="str">
        <f>VLOOKUP(E96,Table1[[#All],[Campo]],1,0)</f>
        <v>dt_rfrnc</v>
      </c>
      <c r="B96" s="14" t="s">
        <v>1636</v>
      </c>
      <c r="C96" s="14" t="s">
        <v>1628</v>
      </c>
      <c r="D96" s="14" t="s">
        <v>1433</v>
      </c>
      <c r="E96" s="14" t="s">
        <v>1379</v>
      </c>
      <c r="F96" s="14" t="s">
        <v>1625</v>
      </c>
      <c r="G96" s="14" t="s">
        <v>1637</v>
      </c>
      <c r="H96" s="14" t="s">
        <v>623</v>
      </c>
      <c r="I96" s="14">
        <v>731165</v>
      </c>
      <c r="J96" s="14">
        <v>0</v>
      </c>
      <c r="K96" s="14">
        <v>0</v>
      </c>
    </row>
    <row r="97" spans="1:11">
      <c r="A97" s="16" t="str">
        <f>VLOOKUP(E97,Table1[[#All],[Campo]],1,0)</f>
        <v>dt_rfrnc</v>
      </c>
      <c r="B97" s="14" t="s">
        <v>1638</v>
      </c>
      <c r="C97" s="14" t="s">
        <v>1628</v>
      </c>
      <c r="D97" s="14" t="s">
        <v>1438</v>
      </c>
      <c r="E97" s="14" t="s">
        <v>1379</v>
      </c>
      <c r="F97" s="14" t="s">
        <v>1625</v>
      </c>
      <c r="G97" s="14" t="s">
        <v>1639</v>
      </c>
      <c r="H97" s="14" t="s">
        <v>623</v>
      </c>
      <c r="I97" s="14">
        <v>456960</v>
      </c>
      <c r="J97" s="14">
        <v>0</v>
      </c>
      <c r="K97" s="14">
        <v>0</v>
      </c>
    </row>
    <row r="98" spans="1:11">
      <c r="A98" s="16" t="str">
        <f>VLOOKUP(E98,Table1[[#All],[Campo]],1,0)</f>
        <v>dt_rfrnc</v>
      </c>
      <c r="B98" s="14" t="s">
        <v>1640</v>
      </c>
      <c r="C98" s="14" t="s">
        <v>1641</v>
      </c>
      <c r="D98" s="14" t="s">
        <v>1450</v>
      </c>
      <c r="E98" s="14" t="s">
        <v>1379</v>
      </c>
      <c r="F98" s="14" t="s">
        <v>1625</v>
      </c>
      <c r="G98" s="14" t="s">
        <v>1642</v>
      </c>
      <c r="H98" s="14" t="s">
        <v>623</v>
      </c>
      <c r="I98" s="14">
        <v>1096295</v>
      </c>
      <c r="J98" s="14">
        <v>0</v>
      </c>
      <c r="K98" s="14">
        <v>0</v>
      </c>
    </row>
    <row r="99" spans="1:11">
      <c r="A99" s="16" t="str">
        <f>VLOOKUP(E99,Table1[[#All],[Campo]],1,0)</f>
        <v>dt_rfrnc</v>
      </c>
      <c r="B99" s="14" t="s">
        <v>1643</v>
      </c>
      <c r="C99" s="14" t="s">
        <v>1641</v>
      </c>
      <c r="D99" s="14" t="s">
        <v>1457</v>
      </c>
      <c r="E99" s="14" t="s">
        <v>1379</v>
      </c>
      <c r="F99" s="14" t="s">
        <v>1625</v>
      </c>
      <c r="G99" s="14" t="s">
        <v>1644</v>
      </c>
      <c r="H99" s="14" t="s">
        <v>623</v>
      </c>
      <c r="I99" s="14">
        <v>2490665</v>
      </c>
      <c r="J99" s="14">
        <v>0</v>
      </c>
      <c r="K99" s="14">
        <v>0</v>
      </c>
    </row>
    <row r="100" spans="1:11">
      <c r="A100" s="16" t="str">
        <f>VLOOKUP(E100,Table1[[#All],[Campo]],1,0)</f>
        <v>dt_rfrnc</v>
      </c>
      <c r="B100" s="14" t="s">
        <v>1645</v>
      </c>
      <c r="C100" s="14" t="s">
        <v>1641</v>
      </c>
      <c r="D100" s="14" t="s">
        <v>1396</v>
      </c>
      <c r="E100" s="14" t="s">
        <v>1379</v>
      </c>
      <c r="F100" s="14" t="s">
        <v>1625</v>
      </c>
      <c r="G100" s="14" t="s">
        <v>1646</v>
      </c>
      <c r="H100" s="14" t="s">
        <v>623</v>
      </c>
      <c r="I100" s="14">
        <v>2002411</v>
      </c>
      <c r="J100" s="14">
        <v>0</v>
      </c>
      <c r="K100" s="14">
        <v>0</v>
      </c>
    </row>
    <row r="101" spans="1:11">
      <c r="A101" s="16" t="str">
        <f>VLOOKUP(E101,Table1[[#All],[Campo]],1,0)</f>
        <v>grss_crryng_amnt_instrmnt</v>
      </c>
      <c r="B101" s="14" t="s">
        <v>1647</v>
      </c>
      <c r="C101" s="14" t="s">
        <v>1648</v>
      </c>
      <c r="D101" s="14" t="s">
        <v>1396</v>
      </c>
      <c r="E101" s="14" t="s">
        <v>1483</v>
      </c>
      <c r="F101" s="14" t="s">
        <v>1649</v>
      </c>
      <c r="G101" s="14" t="s">
        <v>1646</v>
      </c>
      <c r="H101" s="14" t="s">
        <v>1399</v>
      </c>
      <c r="I101" s="14">
        <v>2002411</v>
      </c>
      <c r="J101" s="14">
        <v>31379</v>
      </c>
      <c r="K101" s="14">
        <v>1.5670999999999999</v>
      </c>
    </row>
    <row r="102" spans="1:11">
      <c r="A102" s="16" t="str">
        <f>VLOOKUP(E102,Table1[[#All],[Campo]],1,0)</f>
        <v>accmltd_chngs_fv_cr_instrmnt</v>
      </c>
      <c r="B102" s="14" t="s">
        <v>1650</v>
      </c>
      <c r="C102" s="14" t="s">
        <v>1651</v>
      </c>
      <c r="D102" s="14" t="s">
        <v>1396</v>
      </c>
      <c r="E102" s="14" t="s">
        <v>1487</v>
      </c>
      <c r="F102" s="14" t="s">
        <v>1649</v>
      </c>
      <c r="G102" s="14" t="s">
        <v>1646</v>
      </c>
      <c r="H102" s="14" t="s">
        <v>623</v>
      </c>
      <c r="I102" s="14">
        <v>2002411</v>
      </c>
      <c r="J102" s="14">
        <v>0</v>
      </c>
      <c r="K102" s="14">
        <v>0</v>
      </c>
    </row>
    <row r="103" spans="1:11">
      <c r="A103" s="16" t="e">
        <f>VLOOKUP(E103,Table1[[#All],[Campo]],1,0)</f>
        <v>#N/A</v>
      </c>
      <c r="B103" s="14" t="s">
        <v>1652</v>
      </c>
      <c r="C103" s="14" t="s">
        <v>1653</v>
      </c>
      <c r="D103" s="14" t="s">
        <v>1396</v>
      </c>
      <c r="E103" s="14" t="s">
        <v>1493</v>
      </c>
      <c r="F103" s="14" t="s">
        <v>1649</v>
      </c>
      <c r="G103" s="14" t="s">
        <v>1646</v>
      </c>
      <c r="H103" s="14" t="s">
        <v>623</v>
      </c>
      <c r="I103" s="14">
        <v>2002411</v>
      </c>
      <c r="J103" s="14">
        <v>0</v>
      </c>
      <c r="K103" s="14">
        <v>0</v>
      </c>
    </row>
    <row r="104" spans="1:11">
      <c r="A104" s="16" t="e">
        <f>VLOOKUP(E104,Table1[[#All],[Campo]],1,0)</f>
        <v>#N/A</v>
      </c>
      <c r="B104" s="14" t="s">
        <v>1654</v>
      </c>
      <c r="C104" s="14" t="s">
        <v>1655</v>
      </c>
      <c r="D104" s="14" t="s">
        <v>1396</v>
      </c>
      <c r="E104" s="14" t="s">
        <v>1496</v>
      </c>
      <c r="F104" s="14" t="s">
        <v>1649</v>
      </c>
      <c r="G104" s="14" t="s">
        <v>1646</v>
      </c>
      <c r="H104" s="14" t="s">
        <v>623</v>
      </c>
      <c r="I104" s="14">
        <v>2002411</v>
      </c>
      <c r="J104" s="14">
        <v>0</v>
      </c>
      <c r="K104" s="14">
        <v>0</v>
      </c>
    </row>
    <row r="105" spans="1:11">
      <c r="A105" s="16" t="e">
        <f>VLOOKUP(E105,Table1[[#All],[Campo]],1,0)</f>
        <v>#N/A</v>
      </c>
      <c r="B105" s="14" t="s">
        <v>1656</v>
      </c>
      <c r="C105" s="14" t="s">
        <v>1657</v>
      </c>
      <c r="D105" s="14" t="s">
        <v>1396</v>
      </c>
      <c r="E105" s="14" t="s">
        <v>1499</v>
      </c>
      <c r="F105" s="14" t="s">
        <v>1649</v>
      </c>
      <c r="G105" s="14" t="s">
        <v>1646</v>
      </c>
      <c r="H105" s="14" t="s">
        <v>623</v>
      </c>
      <c r="I105" s="14">
        <v>2002411</v>
      </c>
      <c r="J105" s="14">
        <v>0</v>
      </c>
      <c r="K105" s="14">
        <v>0</v>
      </c>
    </row>
    <row r="106" spans="1:11">
      <c r="A106" s="16" t="str">
        <f>VLOOKUP(E106,Table1[[#All],[Campo]],1,0)</f>
        <v>accmltd_imprmnt_instrmnt</v>
      </c>
      <c r="B106" s="14" t="s">
        <v>1658</v>
      </c>
      <c r="C106" s="14" t="s">
        <v>1659</v>
      </c>
      <c r="D106" s="14" t="s">
        <v>1396</v>
      </c>
      <c r="E106" s="14" t="s">
        <v>1502</v>
      </c>
      <c r="F106" s="14" t="s">
        <v>1649</v>
      </c>
      <c r="G106" s="14" t="s">
        <v>1646</v>
      </c>
      <c r="H106" s="14" t="s">
        <v>623</v>
      </c>
      <c r="I106" s="14">
        <v>2002411</v>
      </c>
      <c r="J106" s="14">
        <v>0</v>
      </c>
      <c r="K106" s="14">
        <v>0</v>
      </c>
    </row>
    <row r="107" spans="1:11">
      <c r="A107" s="16" t="e">
        <f>VLOOKUP(E107,Table1[[#All],[Campo]],1,0)</f>
        <v>#N/A</v>
      </c>
      <c r="B107" s="14" t="s">
        <v>1660</v>
      </c>
      <c r="C107" s="14" t="s">
        <v>1661</v>
      </c>
      <c r="D107" s="14" t="s">
        <v>1396</v>
      </c>
      <c r="E107" s="14" t="s">
        <v>1514</v>
      </c>
      <c r="F107" s="14" t="s">
        <v>1649</v>
      </c>
      <c r="G107" s="14" t="s">
        <v>1646</v>
      </c>
      <c r="H107" s="14" t="s">
        <v>623</v>
      </c>
      <c r="I107" s="14">
        <v>2002411</v>
      </c>
      <c r="J107" s="14">
        <v>0</v>
      </c>
      <c r="K107" s="14">
        <v>0</v>
      </c>
    </row>
    <row r="108" spans="1:11">
      <c r="A108" s="16" t="str">
        <f>VLOOKUP(E108,Table1[[#All],[Campo]],1,0)</f>
        <v>grss_intrst_incm</v>
      </c>
      <c r="B108" s="14" t="s">
        <v>1662</v>
      </c>
      <c r="C108" s="14" t="s">
        <v>1663</v>
      </c>
      <c r="D108" s="14" t="s">
        <v>1396</v>
      </c>
      <c r="E108" s="14" t="s">
        <v>1519</v>
      </c>
      <c r="F108" s="14" t="s">
        <v>1649</v>
      </c>
      <c r="G108" s="14" t="s">
        <v>1646</v>
      </c>
      <c r="H108" s="14" t="s">
        <v>623</v>
      </c>
      <c r="I108" s="14">
        <v>2002411</v>
      </c>
      <c r="J108" s="14">
        <v>0</v>
      </c>
      <c r="K108" s="14">
        <v>0</v>
      </c>
    </row>
    <row r="109" spans="1:11">
      <c r="A109" s="16" t="s">
        <v>1520</v>
      </c>
      <c r="B109" s="14" t="s">
        <v>1664</v>
      </c>
      <c r="C109" s="14" t="s">
        <v>1665</v>
      </c>
      <c r="D109" s="14" t="s">
        <v>1396</v>
      </c>
      <c r="E109" s="14" t="s">
        <v>1523</v>
      </c>
      <c r="F109" s="14" t="s">
        <v>1649</v>
      </c>
      <c r="G109" s="14" t="s">
        <v>1646</v>
      </c>
      <c r="H109" s="14" t="s">
        <v>623</v>
      </c>
      <c r="I109" s="14">
        <v>2002411</v>
      </c>
      <c r="J109" s="14">
        <v>0</v>
      </c>
      <c r="K109" s="14">
        <v>0</v>
      </c>
    </row>
    <row r="110" spans="1:11">
      <c r="A110" s="16" t="e">
        <f>VLOOKUP(E110,Table1[[#All],[Campo]],1,0)</f>
        <v>#N/A</v>
      </c>
      <c r="B110" s="14" t="s">
        <v>1666</v>
      </c>
      <c r="C110" s="14" t="s">
        <v>1667</v>
      </c>
      <c r="D110" s="14" t="s">
        <v>1396</v>
      </c>
      <c r="E110" s="14" t="s">
        <v>1526</v>
      </c>
      <c r="F110" s="14" t="s">
        <v>1649</v>
      </c>
      <c r="G110" s="14" t="s">
        <v>1646</v>
      </c>
      <c r="H110" s="14" t="s">
        <v>623</v>
      </c>
      <c r="I110" s="14">
        <v>2002411</v>
      </c>
      <c r="J110" s="14">
        <v>0</v>
      </c>
      <c r="K110" s="14">
        <v>0</v>
      </c>
    </row>
    <row r="111" spans="1:11">
      <c r="A111" s="16" t="e">
        <f>VLOOKUP(E111,Table1[[#All],[Campo]],1,0)</f>
        <v>#N/A</v>
      </c>
      <c r="B111" s="14" t="s">
        <v>1668</v>
      </c>
      <c r="C111" s="14" t="s">
        <v>1669</v>
      </c>
      <c r="D111" s="14" t="s">
        <v>1396</v>
      </c>
      <c r="E111" s="14" t="s">
        <v>1529</v>
      </c>
      <c r="F111" s="14" t="s">
        <v>1649</v>
      </c>
      <c r="G111" s="14" t="s">
        <v>1646</v>
      </c>
      <c r="H111" s="14" t="s">
        <v>623</v>
      </c>
      <c r="I111" s="14">
        <v>2002411</v>
      </c>
      <c r="J111" s="14">
        <v>0</v>
      </c>
      <c r="K111" s="14">
        <v>0</v>
      </c>
    </row>
    <row r="112" spans="1:11">
      <c r="A112" s="16" t="s">
        <v>1535</v>
      </c>
      <c r="B112" s="14" t="s">
        <v>1670</v>
      </c>
      <c r="C112" s="14" t="s">
        <v>1671</v>
      </c>
      <c r="D112" s="14" t="s">
        <v>1396</v>
      </c>
      <c r="E112" s="14" t="s">
        <v>1538</v>
      </c>
      <c r="F112" s="14" t="s">
        <v>1649</v>
      </c>
      <c r="G112" s="14" t="s">
        <v>1646</v>
      </c>
      <c r="H112" s="14" t="s">
        <v>623</v>
      </c>
      <c r="I112" s="14">
        <v>2002411</v>
      </c>
      <c r="J112" s="14">
        <v>0</v>
      </c>
      <c r="K112" s="14">
        <v>0</v>
      </c>
    </row>
    <row r="113" spans="1:11">
      <c r="A113" s="16" t="e">
        <f>VLOOKUP(E113,Table1[[#All],[Campo]],1,0)</f>
        <v>#N/A</v>
      </c>
      <c r="B113" s="14" t="s">
        <v>1672</v>
      </c>
      <c r="C113" s="14" t="s">
        <v>1673</v>
      </c>
      <c r="D113" s="14" t="s">
        <v>1396</v>
      </c>
      <c r="E113" s="14" t="s">
        <v>1541</v>
      </c>
      <c r="F113" s="14" t="s">
        <v>1649</v>
      </c>
      <c r="G113" s="14" t="s">
        <v>1646</v>
      </c>
      <c r="H113" s="14" t="s">
        <v>623</v>
      </c>
      <c r="I113" s="14">
        <v>2002411</v>
      </c>
      <c r="J113" s="14">
        <v>0</v>
      </c>
      <c r="K113" s="14">
        <v>0</v>
      </c>
    </row>
    <row r="114" spans="1:11">
      <c r="A114" s="16" t="e">
        <f>VLOOKUP(E114,Table1[[#All],[Campo]],1,0)</f>
        <v>#N/A</v>
      </c>
      <c r="B114" s="14" t="s">
        <v>1674</v>
      </c>
      <c r="C114" s="14" t="s">
        <v>1675</v>
      </c>
      <c r="D114" s="14" t="s">
        <v>1396</v>
      </c>
      <c r="E114" s="14" t="s">
        <v>1555</v>
      </c>
      <c r="F114" s="14" t="s">
        <v>1649</v>
      </c>
      <c r="G114" s="14" t="s">
        <v>1646</v>
      </c>
      <c r="H114" s="14" t="s">
        <v>623</v>
      </c>
      <c r="I114" s="14">
        <v>2002411</v>
      </c>
      <c r="J114" s="14">
        <v>0</v>
      </c>
      <c r="K114" s="14">
        <v>0</v>
      </c>
    </row>
    <row r="115" spans="1:11">
      <c r="A115" s="16" t="e">
        <f>VLOOKUP(E115,Table1[[#All],[Campo]],1,0)</f>
        <v>#N/A</v>
      </c>
      <c r="B115" s="14" t="s">
        <v>1676</v>
      </c>
      <c r="C115" s="14" t="s">
        <v>1677</v>
      </c>
      <c r="D115" s="14" t="s">
        <v>1396</v>
      </c>
      <c r="E115" s="14" t="s">
        <v>1558</v>
      </c>
      <c r="F115" s="14" t="s">
        <v>1649</v>
      </c>
      <c r="G115" s="14" t="s">
        <v>1646</v>
      </c>
      <c r="H115" s="14" t="s">
        <v>623</v>
      </c>
      <c r="I115" s="14">
        <v>2002411</v>
      </c>
      <c r="J115" s="14">
        <v>0</v>
      </c>
      <c r="K115" s="14">
        <v>0</v>
      </c>
    </row>
    <row r="116" spans="1:11">
      <c r="A116" s="16" t="s">
        <v>1559</v>
      </c>
      <c r="B116" s="14" t="s">
        <v>1678</v>
      </c>
      <c r="C116" s="14" t="s">
        <v>1679</v>
      </c>
      <c r="D116" s="14" t="s">
        <v>1396</v>
      </c>
      <c r="E116" s="14" t="s">
        <v>1562</v>
      </c>
      <c r="F116" s="14" t="s">
        <v>1649</v>
      </c>
      <c r="G116" s="14" t="s">
        <v>1646</v>
      </c>
      <c r="H116" s="14" t="s">
        <v>623</v>
      </c>
      <c r="I116" s="14">
        <v>2002411</v>
      </c>
      <c r="J116" s="14">
        <v>0</v>
      </c>
      <c r="K116" s="14">
        <v>0</v>
      </c>
    </row>
    <row r="117" spans="1:11">
      <c r="A117" s="16" t="s">
        <v>1563</v>
      </c>
      <c r="B117" s="14" t="s">
        <v>1680</v>
      </c>
      <c r="C117" s="14" t="s">
        <v>1681</v>
      </c>
      <c r="D117" s="14" t="s">
        <v>1396</v>
      </c>
      <c r="E117" s="14" t="s">
        <v>1566</v>
      </c>
      <c r="F117" s="14" t="s">
        <v>1649</v>
      </c>
      <c r="G117" s="14" t="s">
        <v>1646</v>
      </c>
      <c r="H117" s="14" t="s">
        <v>623</v>
      </c>
      <c r="I117" s="14">
        <v>2002411</v>
      </c>
      <c r="J117" s="14">
        <v>0</v>
      </c>
      <c r="K117" s="14">
        <v>0</v>
      </c>
    </row>
    <row r="118" spans="1:11">
      <c r="A118" s="16" t="e">
        <f>VLOOKUP(E118,Table1[[#All],[Campo]],1,0)</f>
        <v>#N/A</v>
      </c>
      <c r="B118" s="14" t="s">
        <v>1682</v>
      </c>
      <c r="C118" s="14" t="s">
        <v>1683</v>
      </c>
      <c r="D118" s="14" t="s">
        <v>1396</v>
      </c>
      <c r="E118" s="14" t="s">
        <v>1572</v>
      </c>
      <c r="F118" s="14" t="s">
        <v>1649</v>
      </c>
      <c r="G118" s="14" t="s">
        <v>1646</v>
      </c>
      <c r="H118" s="14" t="s">
        <v>623</v>
      </c>
      <c r="I118" s="14">
        <v>2002411</v>
      </c>
      <c r="J118" s="14">
        <v>0</v>
      </c>
      <c r="K118" s="14">
        <v>0</v>
      </c>
    </row>
    <row r="119" spans="1:11">
      <c r="A119" s="16" t="e">
        <f>VLOOKUP(E119,Table1[[#All],[Campo]],1,0)</f>
        <v>#N/A</v>
      </c>
      <c r="B119" s="14" t="s">
        <v>1684</v>
      </c>
      <c r="C119" s="14" t="s">
        <v>1685</v>
      </c>
      <c r="D119" s="14" t="s">
        <v>1396</v>
      </c>
      <c r="E119" s="14" t="s">
        <v>1578</v>
      </c>
      <c r="F119" s="14" t="s">
        <v>1649</v>
      </c>
      <c r="G119" s="14" t="s">
        <v>1646</v>
      </c>
      <c r="H119" s="14" t="s">
        <v>623</v>
      </c>
      <c r="I119" s="14">
        <v>2002411</v>
      </c>
      <c r="J119" s="14">
        <v>0</v>
      </c>
      <c r="K119" s="14">
        <v>0</v>
      </c>
    </row>
    <row r="120" spans="1:11">
      <c r="A120" s="16" t="e">
        <f>VLOOKUP(E120,Table1[[#All],[Campo]],1,0)</f>
        <v>#N/A</v>
      </c>
      <c r="B120" s="14" t="s">
        <v>1686</v>
      </c>
      <c r="C120" s="14" t="s">
        <v>1687</v>
      </c>
      <c r="D120" s="14" t="s">
        <v>1396</v>
      </c>
      <c r="E120" s="14" t="s">
        <v>1581</v>
      </c>
      <c r="F120" s="14" t="s">
        <v>1649</v>
      </c>
      <c r="G120" s="14" t="s">
        <v>1646</v>
      </c>
      <c r="H120" s="14" t="s">
        <v>623</v>
      </c>
      <c r="I120" s="14">
        <v>2002411</v>
      </c>
      <c r="J120" s="14">
        <v>0</v>
      </c>
      <c r="K120" s="14">
        <v>0</v>
      </c>
    </row>
    <row r="121" spans="1:11">
      <c r="A121" s="16" t="s">
        <v>1582</v>
      </c>
      <c r="B121" s="14" t="s">
        <v>1688</v>
      </c>
      <c r="C121" s="14" t="s">
        <v>1689</v>
      </c>
      <c r="D121" s="14" t="s">
        <v>1396</v>
      </c>
      <c r="E121" s="14" t="s">
        <v>1585</v>
      </c>
      <c r="F121" s="14" t="s">
        <v>1649</v>
      </c>
      <c r="G121" s="14" t="s">
        <v>1646</v>
      </c>
      <c r="H121" s="14" t="s">
        <v>623</v>
      </c>
      <c r="I121" s="14">
        <v>2002411</v>
      </c>
      <c r="J121" s="14">
        <v>0</v>
      </c>
      <c r="K121" s="14">
        <v>0</v>
      </c>
    </row>
    <row r="122" spans="1:11">
      <c r="A122" s="16" t="s">
        <v>1586</v>
      </c>
      <c r="B122" s="14" t="s">
        <v>1690</v>
      </c>
      <c r="C122" s="14" t="s">
        <v>1691</v>
      </c>
      <c r="D122" s="14" t="s">
        <v>1396</v>
      </c>
      <c r="E122" s="14" t="s">
        <v>1589</v>
      </c>
      <c r="F122" s="14" t="s">
        <v>1649</v>
      </c>
      <c r="G122" s="14" t="s">
        <v>1646</v>
      </c>
      <c r="H122" s="14" t="s">
        <v>623</v>
      </c>
      <c r="I122" s="14">
        <v>2002411</v>
      </c>
      <c r="J122" s="14">
        <v>0</v>
      </c>
      <c r="K122" s="14">
        <v>0</v>
      </c>
    </row>
    <row r="123" spans="1:11">
      <c r="A123" s="16" t="e">
        <f>VLOOKUP(E123,Table1[[#All],[Campo]],1,0)</f>
        <v>#N/A</v>
      </c>
      <c r="B123" s="14" t="s">
        <v>1692</v>
      </c>
      <c r="C123" s="14" t="s">
        <v>1693</v>
      </c>
      <c r="D123" s="14" t="s">
        <v>1396</v>
      </c>
      <c r="E123" s="14" t="s">
        <v>1592</v>
      </c>
      <c r="F123" s="14" t="s">
        <v>1649</v>
      </c>
      <c r="G123" s="14" t="s">
        <v>1646</v>
      </c>
      <c r="H123" s="14" t="s">
        <v>623</v>
      </c>
      <c r="I123" s="14">
        <v>2002411</v>
      </c>
      <c r="J123" s="14">
        <v>0</v>
      </c>
      <c r="K123" s="14">
        <v>0</v>
      </c>
    </row>
    <row r="124" spans="1:11">
      <c r="A124" s="16" t="s">
        <v>1595</v>
      </c>
      <c r="B124" s="14" t="s">
        <v>1694</v>
      </c>
      <c r="C124" s="14" t="s">
        <v>1695</v>
      </c>
      <c r="D124" s="14" t="s">
        <v>1396</v>
      </c>
      <c r="E124" s="14" t="s">
        <v>1598</v>
      </c>
      <c r="F124" s="14" t="s">
        <v>1649</v>
      </c>
      <c r="G124" s="14" t="s">
        <v>1646</v>
      </c>
      <c r="H124" s="14" t="s">
        <v>623</v>
      </c>
      <c r="I124" s="14">
        <v>2002411</v>
      </c>
      <c r="J124" s="14">
        <v>0</v>
      </c>
      <c r="K124" s="14">
        <v>0</v>
      </c>
    </row>
    <row r="125" spans="1:11">
      <c r="A125" s="16" t="s">
        <v>1599</v>
      </c>
      <c r="B125" s="14" t="s">
        <v>1696</v>
      </c>
      <c r="C125" s="14" t="s">
        <v>1697</v>
      </c>
      <c r="D125" s="14" t="s">
        <v>1396</v>
      </c>
      <c r="E125" s="14" t="s">
        <v>1602</v>
      </c>
      <c r="F125" s="14" t="s">
        <v>1649</v>
      </c>
      <c r="G125" s="14" t="s">
        <v>1646</v>
      </c>
      <c r="H125" s="14" t="s">
        <v>623</v>
      </c>
      <c r="I125" s="14">
        <v>2002411</v>
      </c>
      <c r="J125" s="14">
        <v>0</v>
      </c>
      <c r="K125" s="14">
        <v>0</v>
      </c>
    </row>
    <row r="126" spans="1:11">
      <c r="A126" s="16" t="str">
        <f>VLOOKUP(E126,Table1[[#All],[Campo]],1,0)</f>
        <v>dt_rfrnc</v>
      </c>
      <c r="B126" s="14" t="s">
        <v>1698</v>
      </c>
      <c r="C126" s="14" t="s">
        <v>1641</v>
      </c>
      <c r="D126" s="14" t="s">
        <v>1447</v>
      </c>
      <c r="E126" s="14" t="s">
        <v>1379</v>
      </c>
      <c r="F126" s="14" t="s">
        <v>1625</v>
      </c>
      <c r="G126" s="14" t="s">
        <v>1699</v>
      </c>
      <c r="H126" s="14" t="s">
        <v>623</v>
      </c>
      <c r="I126" s="14">
        <v>731165</v>
      </c>
      <c r="J126" s="14">
        <v>0</v>
      </c>
      <c r="K126" s="14">
        <v>0</v>
      </c>
    </row>
    <row r="127" spans="1:11">
      <c r="A127" s="16" t="str">
        <f>VLOOKUP(E127,Table1[[#All],[Campo]],1,0)</f>
        <v>dt_rfrnc</v>
      </c>
      <c r="B127" s="14" t="s">
        <v>1700</v>
      </c>
      <c r="C127" s="14" t="s">
        <v>1641</v>
      </c>
      <c r="D127" s="14" t="s">
        <v>1612</v>
      </c>
      <c r="E127" s="14" t="s">
        <v>1379</v>
      </c>
      <c r="F127" s="14" t="s">
        <v>1625</v>
      </c>
      <c r="G127" s="14" t="s">
        <v>1701</v>
      </c>
      <c r="H127" s="14" t="s">
        <v>623</v>
      </c>
      <c r="I127" s="14">
        <v>456960</v>
      </c>
      <c r="J127" s="14">
        <v>0</v>
      </c>
      <c r="K127" s="14">
        <v>0</v>
      </c>
    </row>
    <row r="128" spans="1:11">
      <c r="A128" s="16" t="str">
        <f>VLOOKUP(E128,Table1[[#All],[Campo]],1,0)</f>
        <v>subportfolio_id</v>
      </c>
      <c r="B128" s="14" t="s">
        <v>1702</v>
      </c>
      <c r="C128" s="14" t="s">
        <v>1703</v>
      </c>
      <c r="D128" s="14" t="s">
        <v>1704</v>
      </c>
      <c r="E128" s="14" t="s">
        <v>1468</v>
      </c>
      <c r="F128" s="14" t="s">
        <v>1705</v>
      </c>
      <c r="G128" s="14" t="s">
        <v>1706</v>
      </c>
      <c r="H128" s="14" t="s">
        <v>623</v>
      </c>
      <c r="I128" s="14">
        <v>0</v>
      </c>
      <c r="J128" s="14">
        <v>0</v>
      </c>
      <c r="K128" s="14">
        <v>0</v>
      </c>
    </row>
    <row r="129" spans="1:11">
      <c r="A129" s="16" t="str">
        <f>VLOOKUP(E129,Table1[[#All],[Campo]],1,0)</f>
        <v>dflt_stts_instrmnt</v>
      </c>
      <c r="B129" s="14" t="s">
        <v>1707</v>
      </c>
      <c r="C129" s="14" t="s">
        <v>1708</v>
      </c>
      <c r="D129" s="14" t="s">
        <v>1709</v>
      </c>
      <c r="E129" s="14" t="s">
        <v>1397</v>
      </c>
      <c r="F129" s="14" t="s">
        <v>1705</v>
      </c>
      <c r="G129" s="14" t="s">
        <v>1706</v>
      </c>
      <c r="H129" s="14" t="s">
        <v>623</v>
      </c>
      <c r="I129" s="14">
        <v>0</v>
      </c>
      <c r="J129" s="14">
        <v>0</v>
      </c>
      <c r="K129" s="14">
        <v>0</v>
      </c>
    </row>
    <row r="130" spans="1:11">
      <c r="A130" s="16" t="str">
        <f>VLOOKUP(E130,Table1[[#All],[Campo]],1,0)</f>
        <v>dflt_stts_instrmnt</v>
      </c>
      <c r="B130" s="14" t="s">
        <v>1710</v>
      </c>
      <c r="C130" s="14" t="s">
        <v>1711</v>
      </c>
      <c r="D130" s="14" t="s">
        <v>1712</v>
      </c>
      <c r="E130" s="14" t="s">
        <v>1397</v>
      </c>
      <c r="F130" s="14" t="s">
        <v>1705</v>
      </c>
      <c r="G130" s="14" t="s">
        <v>1706</v>
      </c>
      <c r="H130" s="14" t="s">
        <v>623</v>
      </c>
      <c r="I130" s="14">
        <v>0</v>
      </c>
      <c r="J130" s="14">
        <v>0</v>
      </c>
      <c r="K130" s="14">
        <v>0</v>
      </c>
    </row>
    <row r="131" spans="1:11">
      <c r="A131" s="16" t="str">
        <f>VLOOKUP(E131,Table1[[#All],[Campo]],1,0)</f>
        <v>dflt_stts_instrmnt</v>
      </c>
      <c r="B131" s="14" t="s">
        <v>1713</v>
      </c>
      <c r="C131" s="14" t="s">
        <v>1714</v>
      </c>
      <c r="D131" s="14" t="s">
        <v>1704</v>
      </c>
      <c r="E131" s="14" t="s">
        <v>1397</v>
      </c>
      <c r="F131" s="14" t="s">
        <v>1705</v>
      </c>
      <c r="G131" s="14" t="s">
        <v>1706</v>
      </c>
      <c r="H131" s="14" t="s">
        <v>623</v>
      </c>
      <c r="I131" s="14">
        <v>0</v>
      </c>
      <c r="J131" s="14">
        <v>0</v>
      </c>
      <c r="K131" s="14">
        <v>0</v>
      </c>
    </row>
    <row r="132" spans="1:11">
      <c r="A132" s="16" t="str">
        <f>VLOOKUP(E132,Table1[[#All],[Campo]],1,0)</f>
        <v>imprmnt_stts</v>
      </c>
      <c r="B132" s="14" t="s">
        <v>1715</v>
      </c>
      <c r="C132" s="14" t="s">
        <v>1716</v>
      </c>
      <c r="D132" s="14" t="s">
        <v>1704</v>
      </c>
      <c r="E132" s="14" t="s">
        <v>1475</v>
      </c>
      <c r="F132" s="14" t="s">
        <v>1705</v>
      </c>
      <c r="G132" s="14" t="s">
        <v>1706</v>
      </c>
      <c r="H132" s="14" t="s">
        <v>1399</v>
      </c>
      <c r="I132" s="14">
        <v>9703</v>
      </c>
      <c r="J132" s="14">
        <v>1</v>
      </c>
      <c r="K132" s="14">
        <v>1.03E-2</v>
      </c>
    </row>
    <row r="133" spans="1:11">
      <c r="A133" s="16" t="str">
        <f>VLOOKUP(E133,Table1[[#All],[Campo]],1,0)</f>
        <v>imprmnt_stts</v>
      </c>
      <c r="B133" s="14" t="s">
        <v>1717</v>
      </c>
      <c r="C133" s="14" t="s">
        <v>1718</v>
      </c>
      <c r="D133" s="14" t="s">
        <v>1704</v>
      </c>
      <c r="E133" s="14" t="s">
        <v>1475</v>
      </c>
      <c r="F133" s="14" t="s">
        <v>1705</v>
      </c>
      <c r="G133" s="14" t="s">
        <v>1706</v>
      </c>
      <c r="H133" s="14" t="s">
        <v>1399</v>
      </c>
      <c r="I133" s="14">
        <v>92666</v>
      </c>
      <c r="J133" s="14">
        <v>3283</v>
      </c>
      <c r="K133" s="14">
        <v>3.5428000000000002</v>
      </c>
    </row>
    <row r="134" spans="1:11">
      <c r="A134" s="16" t="str">
        <f>VLOOKUP(E134,Table1[[#All],[Campo]],1,0)</f>
        <v>imprmnt_stts</v>
      </c>
      <c r="B134" s="14" t="s">
        <v>1719</v>
      </c>
      <c r="C134" s="14" t="s">
        <v>1720</v>
      </c>
      <c r="D134" s="14" t="s">
        <v>1704</v>
      </c>
      <c r="E134" s="14" t="s">
        <v>1475</v>
      </c>
      <c r="F134" s="14" t="s">
        <v>1705</v>
      </c>
      <c r="G134" s="14" t="s">
        <v>1706</v>
      </c>
      <c r="H134" s="14" t="s">
        <v>1399</v>
      </c>
      <c r="I134" s="14">
        <v>1813562</v>
      </c>
      <c r="J134" s="14">
        <v>4684</v>
      </c>
      <c r="K134" s="14">
        <v>0.25829999999999997</v>
      </c>
    </row>
    <row r="135" spans="1:11">
      <c r="A135" s="16" t="str">
        <f>VLOOKUP(E135,Table1[[#All],[Campo]],1,0)</f>
        <v>imprmnt_stts</v>
      </c>
      <c r="B135" s="14" t="s">
        <v>1721</v>
      </c>
      <c r="C135" s="14" t="s">
        <v>1722</v>
      </c>
      <c r="D135" s="14" t="s">
        <v>1704</v>
      </c>
      <c r="E135" s="14" t="s">
        <v>1475</v>
      </c>
      <c r="F135" s="14" t="s">
        <v>1705</v>
      </c>
      <c r="G135" s="14" t="s">
        <v>1706</v>
      </c>
      <c r="H135" s="14" t="s">
        <v>623</v>
      </c>
      <c r="I135" s="14">
        <v>1905178</v>
      </c>
      <c r="J135" s="14">
        <v>0</v>
      </c>
      <c r="K135" s="14">
        <v>0</v>
      </c>
    </row>
    <row r="136" spans="1:11">
      <c r="A136" s="16" t="str">
        <f>VLOOKUP(E136,Table1[[#All],[Campo]],1,0)</f>
        <v>imprmnt_stts</v>
      </c>
      <c r="B136" s="14" t="s">
        <v>1723</v>
      </c>
      <c r="C136" s="14" t="s">
        <v>1724</v>
      </c>
      <c r="D136" s="14" t="s">
        <v>1709</v>
      </c>
      <c r="E136" s="14" t="s">
        <v>1475</v>
      </c>
      <c r="F136" s="14" t="s">
        <v>1705</v>
      </c>
      <c r="G136" s="14" t="s">
        <v>1706</v>
      </c>
      <c r="H136" s="14" t="s">
        <v>1399</v>
      </c>
      <c r="I136" s="14">
        <v>18441</v>
      </c>
      <c r="J136" s="14">
        <v>2850</v>
      </c>
      <c r="K136" s="14">
        <v>15.454700000000001</v>
      </c>
    </row>
    <row r="137" spans="1:11">
      <c r="A137" s="16" t="str">
        <f>VLOOKUP(E137,Table1[[#All],[Campo]],1,0)</f>
        <v>imprmnt_stts</v>
      </c>
      <c r="B137" s="14" t="s">
        <v>1725</v>
      </c>
      <c r="C137" s="14" t="s">
        <v>1726</v>
      </c>
      <c r="D137" s="14" t="s">
        <v>1727</v>
      </c>
      <c r="E137" s="14" t="s">
        <v>1475</v>
      </c>
      <c r="F137" s="14" t="s">
        <v>1705</v>
      </c>
      <c r="G137" s="14" t="s">
        <v>1706</v>
      </c>
      <c r="H137" s="14" t="s">
        <v>623</v>
      </c>
      <c r="I137" s="14">
        <v>1724899</v>
      </c>
      <c r="J137" s="14">
        <v>0</v>
      </c>
      <c r="K137" s="14">
        <v>0</v>
      </c>
    </row>
    <row r="138" spans="1:11">
      <c r="A138" s="16" t="str">
        <f>VLOOKUP(E138,Table1[[#All],[Campo]],1,0)</f>
        <v>imprmnt_stts</v>
      </c>
      <c r="B138" s="14" t="s">
        <v>1728</v>
      </c>
      <c r="C138" s="14" t="s">
        <v>1729</v>
      </c>
      <c r="D138" s="14" t="s">
        <v>1727</v>
      </c>
      <c r="E138" s="14" t="s">
        <v>1475</v>
      </c>
      <c r="F138" s="14" t="s">
        <v>1705</v>
      </c>
      <c r="G138" s="14" t="s">
        <v>1706</v>
      </c>
      <c r="H138" s="14" t="s">
        <v>623</v>
      </c>
      <c r="I138" s="14">
        <v>1472964</v>
      </c>
      <c r="J138" s="14">
        <v>0</v>
      </c>
      <c r="K138" s="14">
        <v>0</v>
      </c>
    </row>
    <row r="139" spans="1:11">
      <c r="A139" s="16" t="str">
        <f>VLOOKUP(E139,Table1[[#All],[Campo]],1,0)</f>
        <v>imprmnt_stts</v>
      </c>
      <c r="B139" s="14" t="s">
        <v>1730</v>
      </c>
      <c r="C139" s="14" t="s">
        <v>1731</v>
      </c>
      <c r="D139" s="14" t="s">
        <v>1727</v>
      </c>
      <c r="E139" s="14" t="s">
        <v>1475</v>
      </c>
      <c r="F139" s="14" t="s">
        <v>1705</v>
      </c>
      <c r="G139" s="14" t="s">
        <v>1706</v>
      </c>
      <c r="H139" s="14" t="s">
        <v>623</v>
      </c>
      <c r="I139" s="14">
        <v>432214</v>
      </c>
      <c r="J139" s="14">
        <v>0</v>
      </c>
      <c r="K139" s="14">
        <v>0</v>
      </c>
    </row>
    <row r="140" spans="1:11">
      <c r="A140" s="16" t="str">
        <f>VLOOKUP(E140,Table1[[#All],[Campo]],1,0)</f>
        <v>imprmnt_stts</v>
      </c>
      <c r="B140" s="14" t="s">
        <v>1732</v>
      </c>
      <c r="C140" s="14" t="s">
        <v>1733</v>
      </c>
      <c r="D140" s="14" t="s">
        <v>1727</v>
      </c>
      <c r="E140" s="14" t="s">
        <v>1475</v>
      </c>
      <c r="F140" s="14" t="s">
        <v>1705</v>
      </c>
      <c r="G140" s="14" t="s">
        <v>1706</v>
      </c>
      <c r="H140" s="14" t="s">
        <v>623</v>
      </c>
      <c r="I140" s="14">
        <v>97233</v>
      </c>
      <c r="J140" s="14">
        <v>0</v>
      </c>
      <c r="K140" s="14">
        <v>0</v>
      </c>
    </row>
    <row r="141" spans="1:11">
      <c r="A141" s="16" t="str">
        <f>VLOOKUP(E141,Table1[[#All],[Campo]],1,0)</f>
        <v>prfrmng_stts</v>
      </c>
      <c r="B141" s="14" t="s">
        <v>1734</v>
      </c>
      <c r="C141" s="14" t="s">
        <v>1735</v>
      </c>
      <c r="D141" s="14" t="s">
        <v>1704</v>
      </c>
      <c r="E141" s="14" t="s">
        <v>1402</v>
      </c>
      <c r="F141" s="14" t="s">
        <v>1705</v>
      </c>
      <c r="G141" s="14" t="s">
        <v>1706</v>
      </c>
      <c r="H141" s="14" t="s">
        <v>1399</v>
      </c>
      <c r="I141" s="14">
        <v>92666</v>
      </c>
      <c r="J141" s="14">
        <v>3283</v>
      </c>
      <c r="K141" s="14">
        <v>3.5428000000000002</v>
      </c>
    </row>
    <row r="142" spans="1:11">
      <c r="A142" s="16" t="str">
        <f>VLOOKUP(E142,Table1[[#All],[Campo]],1,0)</f>
        <v>prfrmng_stts</v>
      </c>
      <c r="B142" s="14" t="s">
        <v>1736</v>
      </c>
      <c r="C142" s="14" t="s">
        <v>1737</v>
      </c>
      <c r="D142" s="14" t="s">
        <v>1704</v>
      </c>
      <c r="E142" s="14" t="s">
        <v>1402</v>
      </c>
      <c r="F142" s="14" t="s">
        <v>1705</v>
      </c>
      <c r="G142" s="14" t="s">
        <v>1706</v>
      </c>
      <c r="H142" s="14" t="s">
        <v>623</v>
      </c>
      <c r="I142" s="14">
        <v>114216</v>
      </c>
      <c r="J142" s="14">
        <v>0</v>
      </c>
      <c r="K142" s="14">
        <v>0</v>
      </c>
    </row>
    <row r="143" spans="1:11">
      <c r="A143" s="16" t="str">
        <f>VLOOKUP(E143,Table1[[#All],[Campo]],1,0)</f>
        <v>prfrmng_stts</v>
      </c>
      <c r="B143" s="14" t="s">
        <v>1738</v>
      </c>
      <c r="C143" s="14" t="s">
        <v>1739</v>
      </c>
      <c r="D143" s="14" t="s">
        <v>1704</v>
      </c>
      <c r="E143" s="14" t="s">
        <v>1402</v>
      </c>
      <c r="F143" s="14" t="s">
        <v>1705</v>
      </c>
      <c r="G143" s="14" t="s">
        <v>1706</v>
      </c>
      <c r="H143" s="14" t="s">
        <v>623</v>
      </c>
      <c r="I143" s="14">
        <v>1408741</v>
      </c>
      <c r="J143" s="14">
        <v>0</v>
      </c>
      <c r="K143" s="14">
        <v>0</v>
      </c>
    </row>
    <row r="144" spans="1:11">
      <c r="A144" s="16" t="str">
        <f>VLOOKUP(E144,Table1[[#All],[Campo]],1,0)</f>
        <v>prfrmng_stts</v>
      </c>
      <c r="B144" s="14" t="s">
        <v>1740</v>
      </c>
      <c r="C144" s="14" t="s">
        <v>1741</v>
      </c>
      <c r="D144" s="14" t="s">
        <v>1712</v>
      </c>
      <c r="E144" s="14" t="s">
        <v>1402</v>
      </c>
      <c r="F144" s="14" t="s">
        <v>1705</v>
      </c>
      <c r="G144" s="14" t="s">
        <v>1706</v>
      </c>
      <c r="H144" s="14" t="s">
        <v>623</v>
      </c>
      <c r="I144" s="14">
        <v>0</v>
      </c>
      <c r="J144" s="14">
        <v>0</v>
      </c>
      <c r="K144" s="14">
        <v>0</v>
      </c>
    </row>
    <row r="145" spans="1:11">
      <c r="A145" s="16" t="str">
        <f>VLOOKUP(E145,Table1[[#All],[Campo]],1,0)</f>
        <v>prfrmng_stts</v>
      </c>
      <c r="B145" s="14" t="s">
        <v>1742</v>
      </c>
      <c r="C145" s="14" t="s">
        <v>1743</v>
      </c>
      <c r="D145" s="14" t="s">
        <v>1727</v>
      </c>
      <c r="E145" s="14" t="s">
        <v>1402</v>
      </c>
      <c r="F145" s="14" t="s">
        <v>1705</v>
      </c>
      <c r="G145" s="14" t="s">
        <v>1706</v>
      </c>
      <c r="H145" s="14" t="s">
        <v>623</v>
      </c>
      <c r="I145" s="14">
        <v>1905178</v>
      </c>
      <c r="J145" s="14">
        <v>0</v>
      </c>
      <c r="K145" s="14">
        <v>0</v>
      </c>
    </row>
    <row r="146" spans="1:11">
      <c r="A146" s="16" t="str">
        <f>VLOOKUP(E146,Table1[[#All],[Campo]],1,0)</f>
        <v>prfrmng_stts</v>
      </c>
      <c r="B146" s="14" t="s">
        <v>1744</v>
      </c>
      <c r="C146" s="14" t="s">
        <v>1745</v>
      </c>
      <c r="D146" s="14" t="s">
        <v>1727</v>
      </c>
      <c r="E146" s="14" t="s">
        <v>1402</v>
      </c>
      <c r="F146" s="14" t="s">
        <v>1705</v>
      </c>
      <c r="G146" s="14" t="s">
        <v>1706</v>
      </c>
      <c r="H146" s="14" t="s">
        <v>623</v>
      </c>
      <c r="I146" s="14">
        <v>97233</v>
      </c>
      <c r="J146" s="14">
        <v>0</v>
      </c>
      <c r="K146" s="14">
        <v>0</v>
      </c>
    </row>
    <row r="147" spans="1:11">
      <c r="A147" s="16" t="str">
        <f>VLOOKUP(E147,Table1[[#All],[Campo]],1,0)</f>
        <v>prfrmng_stts</v>
      </c>
      <c r="B147" s="14" t="s">
        <v>1746</v>
      </c>
      <c r="C147" s="14" t="s">
        <v>1747</v>
      </c>
      <c r="D147" s="14" t="s">
        <v>1712</v>
      </c>
      <c r="E147" s="14" t="s">
        <v>1402</v>
      </c>
      <c r="F147" s="14" t="s">
        <v>1705</v>
      </c>
      <c r="G147" s="14" t="s">
        <v>1706</v>
      </c>
      <c r="H147" s="14" t="s">
        <v>623</v>
      </c>
      <c r="I147" s="14">
        <v>0</v>
      </c>
      <c r="J147" s="14">
        <v>0</v>
      </c>
      <c r="K147" s="14">
        <v>0</v>
      </c>
    </row>
    <row r="148" spans="1:11">
      <c r="A148" s="16" t="str">
        <f>VLOOKUP(E148,Table1[[#All],[Campo]],1,0)</f>
        <v>prfrmng_stts</v>
      </c>
      <c r="B148" s="14" t="s">
        <v>1748</v>
      </c>
      <c r="C148" s="14" t="s">
        <v>1749</v>
      </c>
      <c r="D148" s="14" t="s">
        <v>1704</v>
      </c>
      <c r="E148" s="14" t="s">
        <v>1402</v>
      </c>
      <c r="F148" s="14" t="s">
        <v>1705</v>
      </c>
      <c r="G148" s="14" t="s">
        <v>1706</v>
      </c>
      <c r="H148" s="14" t="s">
        <v>623</v>
      </c>
      <c r="I148" s="14">
        <v>97233</v>
      </c>
      <c r="J148" s="14">
        <v>0</v>
      </c>
      <c r="K148" s="14">
        <v>0</v>
      </c>
    </row>
    <row r="149" spans="1:11">
      <c r="A149" s="16" t="str">
        <f>VLOOKUP(E149,Table1[[#All],[Campo]],1,0)</f>
        <v>prfrmng_stts</v>
      </c>
      <c r="B149" s="14" t="s">
        <v>1750</v>
      </c>
      <c r="C149" s="14" t="s">
        <v>1751</v>
      </c>
      <c r="D149" s="14" t="s">
        <v>1709</v>
      </c>
      <c r="E149" s="14" t="s">
        <v>1402</v>
      </c>
      <c r="F149" s="14" t="s">
        <v>1705</v>
      </c>
      <c r="G149" s="14" t="s">
        <v>1706</v>
      </c>
      <c r="H149" s="14" t="s">
        <v>1399</v>
      </c>
      <c r="I149" s="14">
        <v>113163</v>
      </c>
      <c r="J149" s="14">
        <v>15043</v>
      </c>
      <c r="K149" s="14">
        <v>13.293200000000001</v>
      </c>
    </row>
    <row r="150" spans="1:11">
      <c r="A150" s="16" t="str">
        <f>VLOOKUP(E150,Table1[[#All],[Campo]],1,0)</f>
        <v>grss_crryng_amnt_instrmnt</v>
      </c>
      <c r="B150" s="14" t="s">
        <v>1752</v>
      </c>
      <c r="C150" s="14" t="s">
        <v>1753</v>
      </c>
      <c r="D150" s="14" t="s">
        <v>1704</v>
      </c>
      <c r="E150" s="14" t="s">
        <v>1483</v>
      </c>
      <c r="F150" s="14" t="s">
        <v>1705</v>
      </c>
      <c r="G150" s="14" t="s">
        <v>1706</v>
      </c>
      <c r="H150" s="14" t="s">
        <v>623</v>
      </c>
      <c r="I150" s="14">
        <v>1724899</v>
      </c>
      <c r="J150" s="14">
        <v>0</v>
      </c>
      <c r="K150" s="14">
        <v>0</v>
      </c>
    </row>
    <row r="151" spans="1:11">
      <c r="A151" s="16" t="str">
        <f>VLOOKUP(E151,Table1[[#All],[Campo]],1,0)</f>
        <v>grss_crryng_amnt_instrmnt</v>
      </c>
      <c r="B151" s="14" t="s">
        <v>1754</v>
      </c>
      <c r="C151" s="14" t="s">
        <v>1755</v>
      </c>
      <c r="D151" s="14" t="s">
        <v>1704</v>
      </c>
      <c r="E151" s="14" t="s">
        <v>1483</v>
      </c>
      <c r="F151" s="14" t="s">
        <v>1705</v>
      </c>
      <c r="G151" s="14" t="s">
        <v>1706</v>
      </c>
      <c r="H151" s="14" t="s">
        <v>623</v>
      </c>
      <c r="I151" s="14">
        <v>0</v>
      </c>
      <c r="J151" s="14">
        <v>0</v>
      </c>
      <c r="K151" s="14">
        <v>0</v>
      </c>
    </row>
    <row r="152" spans="1:11">
      <c r="A152" s="16" t="str">
        <f>VLOOKUP(E152,Table1[[#All],[Campo]],1,0)</f>
        <v>grss_crryng_amnt_instrmnt</v>
      </c>
      <c r="B152" s="14" t="s">
        <v>1756</v>
      </c>
      <c r="C152" s="14" t="s">
        <v>1757</v>
      </c>
      <c r="D152" s="14" t="s">
        <v>1704</v>
      </c>
      <c r="E152" s="14" t="s">
        <v>1483</v>
      </c>
      <c r="F152" s="14" t="s">
        <v>1705</v>
      </c>
      <c r="G152" s="14" t="s">
        <v>1706</v>
      </c>
      <c r="H152" s="14" t="s">
        <v>623</v>
      </c>
      <c r="I152" s="14">
        <v>277512</v>
      </c>
      <c r="J152" s="14">
        <v>0</v>
      </c>
      <c r="K152" s="14">
        <v>0</v>
      </c>
    </row>
    <row r="153" spans="1:11">
      <c r="A153" s="16" t="str">
        <f>VLOOKUP(E153,Table1[[#All],[Campo]],1,0)</f>
        <v>accmltd_chngs_fv_cr_instrmnt</v>
      </c>
      <c r="B153" s="14" t="s">
        <v>1758</v>
      </c>
      <c r="C153" s="14" t="s">
        <v>1759</v>
      </c>
      <c r="D153" s="14" t="s">
        <v>1704</v>
      </c>
      <c r="E153" s="14" t="s">
        <v>1487</v>
      </c>
      <c r="F153" s="14" t="s">
        <v>1705</v>
      </c>
      <c r="G153" s="14" t="s">
        <v>1706</v>
      </c>
      <c r="H153" s="14" t="s">
        <v>623</v>
      </c>
      <c r="I153" s="14">
        <v>305642</v>
      </c>
      <c r="J153" s="14">
        <v>0</v>
      </c>
      <c r="K153" s="14">
        <v>0</v>
      </c>
    </row>
    <row r="154" spans="1:11">
      <c r="A154" s="16" t="str">
        <f>VLOOKUP(E154,Table1[[#All],[Campo]],1,0)</f>
        <v>accmltd_chngs_fv_cr_instrmnt</v>
      </c>
      <c r="B154" s="14" t="s">
        <v>1760</v>
      </c>
      <c r="C154" s="14" t="s">
        <v>1761</v>
      </c>
      <c r="D154" s="14" t="s">
        <v>1704</v>
      </c>
      <c r="E154" s="14" t="s">
        <v>1487</v>
      </c>
      <c r="F154" s="14" t="s">
        <v>1705</v>
      </c>
      <c r="G154" s="14" t="s">
        <v>1706</v>
      </c>
      <c r="H154" s="14" t="s">
        <v>623</v>
      </c>
      <c r="I154" s="14">
        <v>0</v>
      </c>
      <c r="J154" s="14">
        <v>0</v>
      </c>
      <c r="K154" s="14">
        <v>0</v>
      </c>
    </row>
    <row r="155" spans="1:11">
      <c r="A155" s="16" t="str">
        <f>VLOOKUP(E155,Table1[[#All],[Campo]],1,0)</f>
        <v>accntng_clssfctn</v>
      </c>
      <c r="B155" s="14" t="s">
        <v>1762</v>
      </c>
      <c r="C155" s="14" t="s">
        <v>1763</v>
      </c>
      <c r="D155" s="14" t="s">
        <v>1704</v>
      </c>
      <c r="E155" s="14" t="s">
        <v>1490</v>
      </c>
      <c r="F155" s="14" t="s">
        <v>1705</v>
      </c>
      <c r="G155" s="14" t="s">
        <v>1706</v>
      </c>
      <c r="H155" s="14" t="s">
        <v>623</v>
      </c>
      <c r="I155" s="14">
        <v>1724797</v>
      </c>
      <c r="J155" s="14">
        <v>0</v>
      </c>
      <c r="K155" s="14">
        <v>0</v>
      </c>
    </row>
    <row r="156" spans="1:11">
      <c r="A156" s="16" t="str">
        <f>VLOOKUP(E156,Table1[[#All],[Campo]],1,0)</f>
        <v>accntng_clssfctn</v>
      </c>
      <c r="B156" s="14" t="s">
        <v>1764</v>
      </c>
      <c r="C156" s="14" t="s">
        <v>1765</v>
      </c>
      <c r="D156" s="14" t="s">
        <v>1704</v>
      </c>
      <c r="E156" s="14" t="s">
        <v>1490</v>
      </c>
      <c r="F156" s="14" t="s">
        <v>1705</v>
      </c>
      <c r="G156" s="14" t="s">
        <v>1706</v>
      </c>
      <c r="H156" s="14" t="s">
        <v>623</v>
      </c>
      <c r="I156" s="14">
        <v>93</v>
      </c>
      <c r="J156" s="14">
        <v>0</v>
      </c>
      <c r="K156" s="14">
        <v>0</v>
      </c>
    </row>
    <row r="157" spans="1:11">
      <c r="A157" s="16" t="str">
        <f>VLOOKUP(E157,Table1[[#All],[Campo]],1,0)</f>
        <v>accntng_clssfctn</v>
      </c>
      <c r="B157" s="14" t="s">
        <v>1766</v>
      </c>
      <c r="C157" s="14" t="s">
        <v>1767</v>
      </c>
      <c r="D157" s="14" t="s">
        <v>1704</v>
      </c>
      <c r="E157" s="14" t="s">
        <v>1490</v>
      </c>
      <c r="F157" s="14" t="s">
        <v>1705</v>
      </c>
      <c r="G157" s="14" t="s">
        <v>1706</v>
      </c>
      <c r="H157" s="14" t="s">
        <v>623</v>
      </c>
      <c r="I157" s="14">
        <v>0</v>
      </c>
      <c r="J157" s="14">
        <v>0</v>
      </c>
      <c r="K157" s="14">
        <v>0</v>
      </c>
    </row>
    <row r="158" spans="1:11">
      <c r="A158" s="16" t="str">
        <f>VLOOKUP(E158,Table1[[#All],[Campo]],1,0)</f>
        <v>accntng_clssfctn</v>
      </c>
      <c r="B158" s="14" t="s">
        <v>1768</v>
      </c>
      <c r="C158" s="14" t="s">
        <v>1769</v>
      </c>
      <c r="D158" s="14" t="s">
        <v>1704</v>
      </c>
      <c r="E158" s="14" t="s">
        <v>1490</v>
      </c>
      <c r="F158" s="14" t="s">
        <v>1705</v>
      </c>
      <c r="G158" s="14" t="s">
        <v>1706</v>
      </c>
      <c r="H158" s="14" t="s">
        <v>623</v>
      </c>
      <c r="I158" s="14">
        <v>9</v>
      </c>
      <c r="J158" s="14">
        <v>0</v>
      </c>
      <c r="K158" s="14">
        <v>0</v>
      </c>
    </row>
    <row r="159" spans="1:11">
      <c r="A159" s="16" t="e">
        <f>VLOOKUP(E159,Table1[[#All],[Campo]],1,0)</f>
        <v>#N/A</v>
      </c>
      <c r="B159" s="14" t="s">
        <v>1770</v>
      </c>
      <c r="C159" s="14" t="s">
        <v>1771</v>
      </c>
      <c r="D159" s="14" t="s">
        <v>1704</v>
      </c>
      <c r="E159" s="14" t="s">
        <v>1493</v>
      </c>
      <c r="F159" s="14" t="s">
        <v>1705</v>
      </c>
      <c r="G159" s="14" t="s">
        <v>1706</v>
      </c>
      <c r="H159" s="14" t="s">
        <v>1399</v>
      </c>
      <c r="I159" s="14">
        <v>2002318</v>
      </c>
      <c r="J159" s="14">
        <v>317</v>
      </c>
      <c r="K159" s="14">
        <v>1.5800000000000002E-2</v>
      </c>
    </row>
    <row r="160" spans="1:11">
      <c r="A160" s="16" t="e">
        <f>VLOOKUP(E160,Table1[[#All],[Campo]],1,0)</f>
        <v>#N/A</v>
      </c>
      <c r="B160" s="14" t="s">
        <v>1772</v>
      </c>
      <c r="C160" s="14" t="s">
        <v>1773</v>
      </c>
      <c r="D160" s="14" t="s">
        <v>1704</v>
      </c>
      <c r="E160" s="14" t="s">
        <v>1493</v>
      </c>
      <c r="F160" s="14" t="s">
        <v>1705</v>
      </c>
      <c r="G160" s="14" t="s">
        <v>1706</v>
      </c>
      <c r="H160" s="14" t="s">
        <v>623</v>
      </c>
      <c r="I160" s="14">
        <v>1646037</v>
      </c>
      <c r="J160" s="14">
        <v>0</v>
      </c>
      <c r="K160" s="14">
        <v>0</v>
      </c>
    </row>
    <row r="161" spans="1:11">
      <c r="A161" s="16" t="e">
        <f>VLOOKUP(E161,Table1[[#All],[Campo]],1,0)</f>
        <v>#N/A</v>
      </c>
      <c r="B161" s="14" t="s">
        <v>1774</v>
      </c>
      <c r="C161" s="14" t="s">
        <v>1775</v>
      </c>
      <c r="D161" s="14" t="s">
        <v>1704</v>
      </c>
      <c r="E161" s="14" t="s">
        <v>1493</v>
      </c>
      <c r="F161" s="14" t="s">
        <v>1705</v>
      </c>
      <c r="G161" s="14" t="s">
        <v>1706</v>
      </c>
      <c r="H161" s="14" t="s">
        <v>623</v>
      </c>
      <c r="I161" s="14">
        <v>253</v>
      </c>
      <c r="J161" s="14">
        <v>0</v>
      </c>
      <c r="K161" s="14">
        <v>0</v>
      </c>
    </row>
    <row r="162" spans="1:11">
      <c r="A162" s="16" t="e">
        <f>VLOOKUP(E162,Table1[[#All],[Campo]],1,0)</f>
        <v>#N/A</v>
      </c>
      <c r="B162" s="14" t="s">
        <v>1776</v>
      </c>
      <c r="C162" s="14" t="s">
        <v>1777</v>
      </c>
      <c r="D162" s="14" t="s">
        <v>1704</v>
      </c>
      <c r="E162" s="14" t="s">
        <v>1493</v>
      </c>
      <c r="F162" s="14" t="s">
        <v>1705</v>
      </c>
      <c r="G162" s="14" t="s">
        <v>1706</v>
      </c>
      <c r="H162" s="14" t="s">
        <v>623</v>
      </c>
      <c r="I162" s="14">
        <v>3</v>
      </c>
      <c r="J162" s="14">
        <v>0</v>
      </c>
      <c r="K162" s="14">
        <v>0</v>
      </c>
    </row>
    <row r="163" spans="1:11">
      <c r="A163" s="16" t="e">
        <f>VLOOKUP(E163,Table1[[#All],[Campo]],1,0)</f>
        <v>#N/A</v>
      </c>
      <c r="B163" s="14" t="s">
        <v>1778</v>
      </c>
      <c r="C163" s="14" t="s">
        <v>1779</v>
      </c>
      <c r="D163" s="14" t="s">
        <v>1704</v>
      </c>
      <c r="E163" s="14" t="s">
        <v>1496</v>
      </c>
      <c r="F163" s="14" t="s">
        <v>1705</v>
      </c>
      <c r="G163" s="14" t="s">
        <v>1706</v>
      </c>
      <c r="H163" s="14" t="s">
        <v>623</v>
      </c>
      <c r="I163" s="14">
        <v>0</v>
      </c>
      <c r="J163" s="14">
        <v>0</v>
      </c>
      <c r="K163" s="14">
        <v>0</v>
      </c>
    </row>
    <row r="164" spans="1:11">
      <c r="A164" s="16" t="e">
        <f>VLOOKUP(E164,Table1[[#All],[Campo]],1,0)</f>
        <v>#N/A</v>
      </c>
      <c r="B164" s="14" t="s">
        <v>1780</v>
      </c>
      <c r="C164" s="14" t="s">
        <v>1781</v>
      </c>
      <c r="D164" s="14" t="s">
        <v>1704</v>
      </c>
      <c r="E164" s="14" t="s">
        <v>1496</v>
      </c>
      <c r="F164" s="14" t="s">
        <v>1705</v>
      </c>
      <c r="G164" s="14" t="s">
        <v>1706</v>
      </c>
      <c r="H164" s="14" t="s">
        <v>623</v>
      </c>
      <c r="I164" s="14">
        <v>3</v>
      </c>
      <c r="J164" s="14">
        <v>0</v>
      </c>
      <c r="K164" s="14">
        <v>0</v>
      </c>
    </row>
    <row r="165" spans="1:11">
      <c r="A165" s="16" t="str">
        <f>VLOOKUP(E165,Table1[[#All],[Campo]],1,0)</f>
        <v>accmltd_imprmnt_instrmnt</v>
      </c>
      <c r="B165" s="14" t="s">
        <v>1782</v>
      </c>
      <c r="C165" s="14" t="s">
        <v>1783</v>
      </c>
      <c r="D165" s="14" t="s">
        <v>1704</v>
      </c>
      <c r="E165" s="14" t="s">
        <v>1502</v>
      </c>
      <c r="F165" s="14" t="s">
        <v>1705</v>
      </c>
      <c r="G165" s="14" t="s">
        <v>1706</v>
      </c>
      <c r="H165" s="14" t="s">
        <v>623</v>
      </c>
      <c r="I165" s="14">
        <v>0</v>
      </c>
      <c r="J165" s="14">
        <v>0</v>
      </c>
      <c r="K165" s="14">
        <v>0</v>
      </c>
    </row>
    <row r="166" spans="1:11">
      <c r="A166" s="16" t="str">
        <f>VLOOKUP(E166,Table1[[#All],[Campo]],1,0)</f>
        <v>accmltd_imprmnt_instrmnt</v>
      </c>
      <c r="B166" s="14" t="s">
        <v>1784</v>
      </c>
      <c r="C166" s="14" t="s">
        <v>1785</v>
      </c>
      <c r="D166" s="14" t="s">
        <v>1704</v>
      </c>
      <c r="E166" s="14" t="s">
        <v>1502</v>
      </c>
      <c r="F166" s="14" t="s">
        <v>1705</v>
      </c>
      <c r="G166" s="14" t="s">
        <v>1706</v>
      </c>
      <c r="H166" s="14" t="s">
        <v>623</v>
      </c>
      <c r="I166" s="14">
        <v>277512</v>
      </c>
      <c r="J166" s="14">
        <v>0</v>
      </c>
      <c r="K166" s="14">
        <v>0</v>
      </c>
    </row>
    <row r="167" spans="1:11">
      <c r="A167" s="16" t="str">
        <f>VLOOKUP(E167,Table1[[#All],[Campo]],1,0)</f>
        <v>accmltd_imprmnt_instrmnt</v>
      </c>
      <c r="B167" s="14" t="s">
        <v>1786</v>
      </c>
      <c r="C167" s="14" t="s">
        <v>1787</v>
      </c>
      <c r="D167" s="14" t="s">
        <v>1704</v>
      </c>
      <c r="E167" s="14" t="s">
        <v>1502</v>
      </c>
      <c r="F167" s="14" t="s">
        <v>1705</v>
      </c>
      <c r="G167" s="14" t="s">
        <v>1706</v>
      </c>
      <c r="H167" s="14" t="s">
        <v>623</v>
      </c>
      <c r="I167" s="14">
        <v>3</v>
      </c>
      <c r="J167" s="14">
        <v>0</v>
      </c>
      <c r="K167" s="14">
        <v>0</v>
      </c>
    </row>
    <row r="168" spans="1:11">
      <c r="A168" s="16" t="str">
        <f>VLOOKUP(E168,Table1[[#All],[Campo]],1,0)</f>
        <v>sstnbl_indctr</v>
      </c>
      <c r="B168" s="14" t="s">
        <v>1788</v>
      </c>
      <c r="C168" s="14" t="s">
        <v>1789</v>
      </c>
      <c r="D168" s="14" t="s">
        <v>1704</v>
      </c>
      <c r="E168" s="14" t="s">
        <v>1408</v>
      </c>
      <c r="F168" s="14" t="s">
        <v>1705</v>
      </c>
      <c r="G168" s="14" t="s">
        <v>1706</v>
      </c>
      <c r="H168" s="14" t="s">
        <v>623</v>
      </c>
      <c r="I168" s="14">
        <v>0</v>
      </c>
      <c r="J168" s="14">
        <v>0</v>
      </c>
      <c r="K168" s="14">
        <v>0</v>
      </c>
    </row>
    <row r="169" spans="1:11">
      <c r="A169" s="16" t="str">
        <f>VLOOKUP(E169,Table1[[#All],[Campo]],1,0)</f>
        <v>sstnbl_indctr</v>
      </c>
      <c r="B169" s="14" t="s">
        <v>1790</v>
      </c>
      <c r="C169" s="14" t="s">
        <v>1791</v>
      </c>
      <c r="D169" s="14" t="s">
        <v>1704</v>
      </c>
      <c r="E169" s="14" t="s">
        <v>1408</v>
      </c>
      <c r="F169" s="14" t="s">
        <v>1705</v>
      </c>
      <c r="G169" s="14" t="s">
        <v>1706</v>
      </c>
      <c r="H169" s="14" t="s">
        <v>623</v>
      </c>
      <c r="I169" s="14">
        <v>0</v>
      </c>
      <c r="J169" s="14">
        <v>0</v>
      </c>
      <c r="K169" s="14">
        <v>0</v>
      </c>
    </row>
    <row r="170" spans="1:11">
      <c r="A170" s="16" t="str">
        <f>VLOOKUP(E170,Table1[[#All],[Campo]],1,0)</f>
        <v>sstnbl_ctgry</v>
      </c>
      <c r="B170" s="14" t="s">
        <v>1792</v>
      </c>
      <c r="C170" s="14" t="s">
        <v>1793</v>
      </c>
      <c r="D170" s="14" t="s">
        <v>1709</v>
      </c>
      <c r="E170" s="14" t="s">
        <v>1412</v>
      </c>
      <c r="F170" s="14" t="s">
        <v>1705</v>
      </c>
      <c r="G170" s="14" t="s">
        <v>1706</v>
      </c>
      <c r="H170" s="14" t="s">
        <v>623</v>
      </c>
      <c r="I170" s="14">
        <v>0</v>
      </c>
      <c r="J170" s="14">
        <v>0</v>
      </c>
      <c r="K170" s="14">
        <v>0</v>
      </c>
    </row>
    <row r="171" spans="1:11">
      <c r="A171" s="16" t="str">
        <f>VLOOKUP(E171,Table1[[#All],[Campo]],1,0)</f>
        <v>sstnbl_ctgry</v>
      </c>
      <c r="B171" s="14" t="s">
        <v>1794</v>
      </c>
      <c r="C171" s="14" t="s">
        <v>1795</v>
      </c>
      <c r="D171" s="14" t="s">
        <v>1709</v>
      </c>
      <c r="E171" s="14" t="s">
        <v>1412</v>
      </c>
      <c r="F171" s="14" t="s">
        <v>1705</v>
      </c>
      <c r="G171" s="14" t="s">
        <v>1706</v>
      </c>
      <c r="H171" s="14" t="s">
        <v>623</v>
      </c>
      <c r="I171" s="14">
        <v>0</v>
      </c>
      <c r="J171" s="14">
        <v>0</v>
      </c>
      <c r="K171" s="14">
        <v>0</v>
      </c>
    </row>
    <row r="172" spans="1:11">
      <c r="A172" s="16" t="str">
        <f>VLOOKUP(E172,Table1[[#All],[Campo]],1,0)</f>
        <v>sstnbl_ctgry</v>
      </c>
      <c r="B172" s="14" t="s">
        <v>1796</v>
      </c>
      <c r="C172" s="14" t="s">
        <v>1797</v>
      </c>
      <c r="D172" s="14" t="s">
        <v>1709</v>
      </c>
      <c r="E172" s="14" t="s">
        <v>1412</v>
      </c>
      <c r="F172" s="14" t="s">
        <v>1705</v>
      </c>
      <c r="G172" s="14" t="s">
        <v>1706</v>
      </c>
      <c r="H172" s="14" t="s">
        <v>623</v>
      </c>
      <c r="I172" s="14">
        <v>0</v>
      </c>
      <c r="J172" s="14">
        <v>0</v>
      </c>
      <c r="K172" s="14">
        <v>0</v>
      </c>
    </row>
    <row r="173" spans="1:11">
      <c r="A173" s="16" t="str">
        <f>VLOOKUP(E173,Table1[[#All],[Campo]],1,0)</f>
        <v>sstnbl_ctgry</v>
      </c>
      <c r="B173" s="14" t="s">
        <v>1798</v>
      </c>
      <c r="C173" s="14" t="s">
        <v>1799</v>
      </c>
      <c r="D173" s="14" t="s">
        <v>1709</v>
      </c>
      <c r="E173" s="14" t="s">
        <v>1412</v>
      </c>
      <c r="F173" s="14" t="s">
        <v>1705</v>
      </c>
      <c r="G173" s="14" t="s">
        <v>1706</v>
      </c>
      <c r="H173" s="14" t="s">
        <v>623</v>
      </c>
      <c r="I173" s="14">
        <v>0</v>
      </c>
      <c r="J173" s="14">
        <v>0</v>
      </c>
      <c r="K173" s="14">
        <v>0</v>
      </c>
    </row>
    <row r="174" spans="1:11">
      <c r="A174" s="16" t="str">
        <f>VLOOKUP(E174,Table1[[#All],[Campo]],1,0)</f>
        <v>sstnbl_ctgry</v>
      </c>
      <c r="B174" s="14" t="s">
        <v>1800</v>
      </c>
      <c r="C174" s="14" t="s">
        <v>1801</v>
      </c>
      <c r="D174" s="14" t="s">
        <v>1709</v>
      </c>
      <c r="E174" s="14" t="s">
        <v>1412</v>
      </c>
      <c r="F174" s="14" t="s">
        <v>1705</v>
      </c>
      <c r="G174" s="14" t="s">
        <v>1706</v>
      </c>
      <c r="H174" s="14" t="s">
        <v>623</v>
      </c>
      <c r="I174" s="14">
        <v>0</v>
      </c>
      <c r="J174" s="14">
        <v>0</v>
      </c>
      <c r="K174" s="14">
        <v>0</v>
      </c>
    </row>
    <row r="175" spans="1:11">
      <c r="A175" s="16" t="str">
        <f>VLOOKUP(E175,Table1[[#All],[Campo]],1,0)</f>
        <v>sstnbl_ctgry</v>
      </c>
      <c r="B175" s="14" t="s">
        <v>1802</v>
      </c>
      <c r="C175" s="14" t="s">
        <v>1803</v>
      </c>
      <c r="D175" s="14" t="s">
        <v>1709</v>
      </c>
      <c r="E175" s="14" t="s">
        <v>1412</v>
      </c>
      <c r="F175" s="14" t="s">
        <v>1705</v>
      </c>
      <c r="G175" s="14" t="s">
        <v>1706</v>
      </c>
      <c r="H175" s="14" t="s">
        <v>623</v>
      </c>
      <c r="I175" s="14">
        <v>0</v>
      </c>
      <c r="J175" s="14">
        <v>0</v>
      </c>
      <c r="K175" s="14">
        <v>0</v>
      </c>
    </row>
    <row r="176" spans="1:11">
      <c r="A176" s="16" t="str">
        <f>VLOOKUP(E176,Table1[[#All],[Campo]],1,0)</f>
        <v>sstnbl_ctgry</v>
      </c>
      <c r="B176" s="14" t="s">
        <v>1804</v>
      </c>
      <c r="C176" s="14" t="s">
        <v>1805</v>
      </c>
      <c r="D176" s="14" t="s">
        <v>1709</v>
      </c>
      <c r="E176" s="14" t="s">
        <v>1412</v>
      </c>
      <c r="F176" s="14" t="s">
        <v>1705</v>
      </c>
      <c r="G176" s="14" t="s">
        <v>1706</v>
      </c>
      <c r="H176" s="14" t="s">
        <v>623</v>
      </c>
      <c r="I176" s="14">
        <v>0</v>
      </c>
      <c r="J176" s="14">
        <v>0</v>
      </c>
      <c r="K176" s="14">
        <v>0</v>
      </c>
    </row>
    <row r="177" spans="1:11">
      <c r="A177" s="16" t="str">
        <f>VLOOKUP(E177,Table1[[#All],[Campo]],1,0)</f>
        <v>sstnbl_ctgry</v>
      </c>
      <c r="B177" s="14" t="s">
        <v>1806</v>
      </c>
      <c r="C177" s="14" t="s">
        <v>1807</v>
      </c>
      <c r="D177" s="14" t="s">
        <v>1709</v>
      </c>
      <c r="E177" s="14" t="s">
        <v>1412</v>
      </c>
      <c r="F177" s="14" t="s">
        <v>1705</v>
      </c>
      <c r="G177" s="14" t="s">
        <v>1706</v>
      </c>
      <c r="H177" s="14" t="s">
        <v>623</v>
      </c>
      <c r="I177" s="14">
        <v>0</v>
      </c>
      <c r="J177" s="14">
        <v>0</v>
      </c>
      <c r="K177" s="14">
        <v>0</v>
      </c>
    </row>
    <row r="178" spans="1:11">
      <c r="A178" s="16" t="str">
        <f>VLOOKUP(E178,Table1[[#All],[Campo]],1,0)</f>
        <v>sstnbl_ctgry</v>
      </c>
      <c r="B178" s="14" t="s">
        <v>1808</v>
      </c>
      <c r="C178" s="14" t="s">
        <v>1809</v>
      </c>
      <c r="D178" s="14" t="s">
        <v>1709</v>
      </c>
      <c r="E178" s="14" t="s">
        <v>1412</v>
      </c>
      <c r="F178" s="14" t="s">
        <v>1705</v>
      </c>
      <c r="G178" s="14" t="s">
        <v>1706</v>
      </c>
      <c r="H178" s="14" t="s">
        <v>623</v>
      </c>
      <c r="I178" s="14">
        <v>0</v>
      </c>
      <c r="J178" s="14">
        <v>0</v>
      </c>
      <c r="K178" s="14">
        <v>0</v>
      </c>
    </row>
    <row r="179" spans="1:11">
      <c r="A179" s="16" t="str">
        <f>VLOOKUP(E179,Table1[[#All],[Campo]],1,0)</f>
        <v>sstnbl_ctgry</v>
      </c>
      <c r="B179" s="14" t="s">
        <v>1810</v>
      </c>
      <c r="C179" s="14" t="s">
        <v>1811</v>
      </c>
      <c r="D179" s="14" t="s">
        <v>1709</v>
      </c>
      <c r="E179" s="14" t="s">
        <v>1412</v>
      </c>
      <c r="F179" s="14" t="s">
        <v>1705</v>
      </c>
      <c r="G179" s="14" t="s">
        <v>1706</v>
      </c>
      <c r="H179" s="14" t="s">
        <v>623</v>
      </c>
      <c r="I179" s="14">
        <v>0</v>
      </c>
      <c r="J179" s="14">
        <v>0</v>
      </c>
      <c r="K179" s="14">
        <v>0</v>
      </c>
    </row>
    <row r="180" spans="1:11">
      <c r="A180" s="16" t="str">
        <f>VLOOKUP(E180,Table1[[#All],[Campo]],1,0)</f>
        <v>sstnbl_ctgry</v>
      </c>
      <c r="B180" s="14" t="s">
        <v>1812</v>
      </c>
      <c r="C180" s="14" t="s">
        <v>1813</v>
      </c>
      <c r="D180" s="14" t="s">
        <v>1709</v>
      </c>
      <c r="E180" s="14" t="s">
        <v>1412</v>
      </c>
      <c r="F180" s="14" t="s">
        <v>1705</v>
      </c>
      <c r="G180" s="14" t="s">
        <v>1706</v>
      </c>
      <c r="H180" s="14" t="s">
        <v>623</v>
      </c>
      <c r="I180" s="14">
        <v>0</v>
      </c>
      <c r="J180" s="14">
        <v>0</v>
      </c>
      <c r="K180" s="14">
        <v>0</v>
      </c>
    </row>
    <row r="181" spans="1:11">
      <c r="A181" s="16" t="str">
        <f>VLOOKUP(E181,Table1[[#All],[Campo]],1,0)</f>
        <v>sstnbl_ctgry</v>
      </c>
      <c r="B181" s="14" t="s">
        <v>1814</v>
      </c>
      <c r="C181" s="14" t="s">
        <v>1815</v>
      </c>
      <c r="D181" s="14" t="s">
        <v>1709</v>
      </c>
      <c r="E181" s="14" t="s">
        <v>1412</v>
      </c>
      <c r="F181" s="14" t="s">
        <v>1705</v>
      </c>
      <c r="G181" s="14" t="s">
        <v>1706</v>
      </c>
      <c r="H181" s="14" t="s">
        <v>623</v>
      </c>
      <c r="I181" s="14">
        <v>0</v>
      </c>
      <c r="J181" s="14">
        <v>0</v>
      </c>
      <c r="K181" s="14">
        <v>0</v>
      </c>
    </row>
    <row r="182" spans="1:11">
      <c r="A182" s="16" t="str">
        <f>VLOOKUP(E182,Table1[[#All],[Campo]],1,0)</f>
        <v>sstnbl_ctgry</v>
      </c>
      <c r="B182" s="14" t="s">
        <v>1816</v>
      </c>
      <c r="C182" s="14" t="s">
        <v>1817</v>
      </c>
      <c r="D182" s="14" t="s">
        <v>1709</v>
      </c>
      <c r="E182" s="14" t="s">
        <v>1412</v>
      </c>
      <c r="F182" s="14" t="s">
        <v>1705</v>
      </c>
      <c r="G182" s="14" t="s">
        <v>1706</v>
      </c>
      <c r="H182" s="14" t="s">
        <v>623</v>
      </c>
      <c r="I182" s="14">
        <v>0</v>
      </c>
      <c r="J182" s="14">
        <v>0</v>
      </c>
      <c r="K182" s="14">
        <v>0</v>
      </c>
    </row>
    <row r="183" spans="1:11">
      <c r="A183" s="16" t="str">
        <f>VLOOKUP(E183,Table1[[#All],[Campo]],1,0)</f>
        <v>sstnbl_ctgry</v>
      </c>
      <c r="B183" s="14" t="s">
        <v>1818</v>
      </c>
      <c r="C183" s="14" t="s">
        <v>1819</v>
      </c>
      <c r="D183" s="14" t="s">
        <v>1709</v>
      </c>
      <c r="E183" s="14" t="s">
        <v>1412</v>
      </c>
      <c r="F183" s="14" t="s">
        <v>1705</v>
      </c>
      <c r="G183" s="14" t="s">
        <v>1706</v>
      </c>
      <c r="H183" s="14" t="s">
        <v>623</v>
      </c>
      <c r="I183" s="14">
        <v>0</v>
      </c>
      <c r="J183" s="14">
        <v>0</v>
      </c>
      <c r="K183" s="14">
        <v>0</v>
      </c>
    </row>
    <row r="184" spans="1:11">
      <c r="A184" s="16" t="str">
        <f>VLOOKUP(E184,Table1[[#All],[Campo]],1,0)</f>
        <v>grss_intrst_incm</v>
      </c>
      <c r="B184" s="14" t="s">
        <v>1820</v>
      </c>
      <c r="C184" s="14" t="s">
        <v>1821</v>
      </c>
      <c r="D184" s="14" t="s">
        <v>1704</v>
      </c>
      <c r="E184" s="14" t="s">
        <v>1519</v>
      </c>
      <c r="F184" s="14" t="s">
        <v>1705</v>
      </c>
      <c r="G184" s="14" t="s">
        <v>1706</v>
      </c>
      <c r="H184" s="14" t="s">
        <v>623</v>
      </c>
      <c r="I184" s="14">
        <v>0</v>
      </c>
      <c r="J184" s="14">
        <v>0</v>
      </c>
      <c r="K184" s="14">
        <v>0</v>
      </c>
    </row>
    <row r="185" spans="1:11">
      <c r="A185" s="16" t="str">
        <f>VLOOKUP(E185,Table1[[#All],[Campo]],1,0)</f>
        <v>grss_intrst_incm</v>
      </c>
      <c r="B185" s="14" t="s">
        <v>1822</v>
      </c>
      <c r="C185" s="14" t="s">
        <v>1823</v>
      </c>
      <c r="D185" s="14" t="s">
        <v>1704</v>
      </c>
      <c r="E185" s="14" t="s">
        <v>1519</v>
      </c>
      <c r="F185" s="14" t="s">
        <v>1705</v>
      </c>
      <c r="G185" s="14" t="s">
        <v>1706</v>
      </c>
      <c r="H185" s="14" t="s">
        <v>623</v>
      </c>
      <c r="I185" s="14">
        <v>0</v>
      </c>
      <c r="J185" s="14">
        <v>0</v>
      </c>
      <c r="K185" s="14">
        <v>0</v>
      </c>
    </row>
    <row r="186" spans="1:11">
      <c r="A186" s="16" t="s">
        <v>1520</v>
      </c>
      <c r="B186" s="14" t="s">
        <v>1824</v>
      </c>
      <c r="C186" s="14" t="s">
        <v>1825</v>
      </c>
      <c r="D186" s="14" t="s">
        <v>1704</v>
      </c>
      <c r="E186" s="14" t="s">
        <v>1523</v>
      </c>
      <c r="F186" s="14" t="s">
        <v>1705</v>
      </c>
      <c r="G186" s="14" t="s">
        <v>1706</v>
      </c>
      <c r="H186" s="14" t="s">
        <v>623</v>
      </c>
      <c r="I186" s="14">
        <v>0</v>
      </c>
      <c r="J186" s="14">
        <v>0</v>
      </c>
      <c r="K186" s="14">
        <v>0</v>
      </c>
    </row>
    <row r="187" spans="1:11">
      <c r="A187" s="16" t="s">
        <v>1520</v>
      </c>
      <c r="B187" s="14" t="s">
        <v>1826</v>
      </c>
      <c r="C187" s="14" t="s">
        <v>1827</v>
      </c>
      <c r="D187" s="14" t="s">
        <v>1704</v>
      </c>
      <c r="E187" s="14" t="s">
        <v>1523</v>
      </c>
      <c r="F187" s="14" t="s">
        <v>1705</v>
      </c>
      <c r="G187" s="14" t="s">
        <v>1706</v>
      </c>
      <c r="H187" s="14" t="s">
        <v>623</v>
      </c>
      <c r="I187" s="14">
        <v>0</v>
      </c>
      <c r="J187" s="14">
        <v>0</v>
      </c>
      <c r="K187" s="14">
        <v>0</v>
      </c>
    </row>
    <row r="188" spans="1:11">
      <c r="A188" s="16" t="e">
        <f>VLOOKUP(E188,Table1[[#All],[Campo]],1,0)</f>
        <v>#N/A</v>
      </c>
      <c r="B188" s="14" t="s">
        <v>1828</v>
      </c>
      <c r="C188" s="14" t="s">
        <v>1829</v>
      </c>
      <c r="D188" s="14" t="s">
        <v>1704</v>
      </c>
      <c r="E188" s="14" t="s">
        <v>1534</v>
      </c>
      <c r="F188" s="14" t="s">
        <v>1705</v>
      </c>
      <c r="G188" s="14" t="s">
        <v>1706</v>
      </c>
      <c r="H188" s="14" t="s">
        <v>623</v>
      </c>
      <c r="I188" s="14">
        <v>0</v>
      </c>
      <c r="J188" s="14">
        <v>0</v>
      </c>
      <c r="K188" s="14">
        <v>0</v>
      </c>
    </row>
    <row r="189" spans="1:11">
      <c r="A189" s="16" t="e">
        <f>VLOOKUP(E189,Table1[[#All],[Campo]],1,0)</f>
        <v>#N/A</v>
      </c>
      <c r="B189" s="14" t="s">
        <v>1830</v>
      </c>
      <c r="C189" s="14" t="s">
        <v>1831</v>
      </c>
      <c r="D189" s="14" t="s">
        <v>1704</v>
      </c>
      <c r="E189" s="14" t="s">
        <v>1534</v>
      </c>
      <c r="F189" s="14" t="s">
        <v>1705</v>
      </c>
      <c r="G189" s="14" t="s">
        <v>1706</v>
      </c>
      <c r="H189" s="14" t="s">
        <v>623</v>
      </c>
      <c r="I189" s="14">
        <v>277518</v>
      </c>
      <c r="J189" s="14">
        <v>0</v>
      </c>
      <c r="K189" s="14">
        <v>0</v>
      </c>
    </row>
    <row r="190" spans="1:11">
      <c r="A190" s="16" t="e">
        <f>VLOOKUP(E190,Table1[[#All],[Campo]],1,0)</f>
        <v>#N/A</v>
      </c>
      <c r="B190" s="14" t="s">
        <v>1832</v>
      </c>
      <c r="C190" s="14" t="s">
        <v>1833</v>
      </c>
      <c r="D190" s="14" t="s">
        <v>1704</v>
      </c>
      <c r="E190" s="14" t="s">
        <v>1534</v>
      </c>
      <c r="F190" s="14" t="s">
        <v>1705</v>
      </c>
      <c r="G190" s="14" t="s">
        <v>1706</v>
      </c>
      <c r="H190" s="14" t="s">
        <v>623</v>
      </c>
      <c r="I190" s="14">
        <v>1724892</v>
      </c>
      <c r="J190" s="14">
        <v>0</v>
      </c>
      <c r="K190" s="14">
        <v>0</v>
      </c>
    </row>
    <row r="191" spans="1:11">
      <c r="A191" s="16" t="s">
        <v>1535</v>
      </c>
      <c r="B191" s="14" t="s">
        <v>1834</v>
      </c>
      <c r="C191" s="14" t="s">
        <v>1835</v>
      </c>
      <c r="D191" s="14" t="s">
        <v>1704</v>
      </c>
      <c r="E191" s="14" t="s">
        <v>1538</v>
      </c>
      <c r="F191" s="14" t="s">
        <v>1705</v>
      </c>
      <c r="G191" s="14" t="s">
        <v>1706</v>
      </c>
      <c r="H191" s="14" t="s">
        <v>623</v>
      </c>
      <c r="I191" s="14">
        <v>0</v>
      </c>
      <c r="J191" s="14">
        <v>0</v>
      </c>
      <c r="K191" s="14">
        <v>0</v>
      </c>
    </row>
    <row r="192" spans="1:11">
      <c r="A192" s="16" t="s">
        <v>1535</v>
      </c>
      <c r="B192" s="14" t="s">
        <v>1836</v>
      </c>
      <c r="C192" s="14" t="s">
        <v>1837</v>
      </c>
      <c r="D192" s="14" t="s">
        <v>1704</v>
      </c>
      <c r="E192" s="14" t="s">
        <v>1538</v>
      </c>
      <c r="F192" s="14" t="s">
        <v>1705</v>
      </c>
      <c r="G192" s="14" t="s">
        <v>1706</v>
      </c>
      <c r="H192" s="14" t="s">
        <v>623</v>
      </c>
      <c r="I192" s="14">
        <v>0</v>
      </c>
      <c r="J192" s="14">
        <v>0</v>
      </c>
      <c r="K192" s="14">
        <v>0</v>
      </c>
    </row>
    <row r="193" spans="1:11">
      <c r="A193" s="16" t="e">
        <f>VLOOKUP(E193,Table1[[#All],[Campo]],1,0)</f>
        <v>#N/A</v>
      </c>
      <c r="B193" s="14" t="s">
        <v>1838</v>
      </c>
      <c r="C193" s="14" t="s">
        <v>1839</v>
      </c>
      <c r="D193" s="14" t="s">
        <v>1704</v>
      </c>
      <c r="E193" s="14" t="s">
        <v>1541</v>
      </c>
      <c r="F193" s="14" t="s">
        <v>1705</v>
      </c>
      <c r="G193" s="14" t="s">
        <v>1706</v>
      </c>
      <c r="H193" s="14" t="s">
        <v>623</v>
      </c>
      <c r="I193" s="14">
        <v>0</v>
      </c>
      <c r="J193" s="14">
        <v>0</v>
      </c>
      <c r="K193" s="14">
        <v>0</v>
      </c>
    </row>
    <row r="194" spans="1:11">
      <c r="A194" s="16" t="e">
        <f>VLOOKUP(E194,Table1[[#All],[Campo]],1,0)</f>
        <v>#N/A</v>
      </c>
      <c r="B194" s="14" t="s">
        <v>1840</v>
      </c>
      <c r="C194" s="14" t="s">
        <v>1841</v>
      </c>
      <c r="D194" s="14" t="s">
        <v>1704</v>
      </c>
      <c r="E194" s="14" t="s">
        <v>1541</v>
      </c>
      <c r="F194" s="14" t="s">
        <v>1705</v>
      </c>
      <c r="G194" s="14" t="s">
        <v>1706</v>
      </c>
      <c r="H194" s="14" t="s">
        <v>623</v>
      </c>
      <c r="I194" s="14">
        <v>0</v>
      </c>
      <c r="J194" s="14">
        <v>0</v>
      </c>
      <c r="K194" s="14">
        <v>0</v>
      </c>
    </row>
    <row r="195" spans="1:11">
      <c r="A195" s="16" t="e">
        <f>VLOOKUP(E195,Table1[[#All],[Campo]],1,0)</f>
        <v>#N/A</v>
      </c>
      <c r="B195" s="14" t="s">
        <v>1842</v>
      </c>
      <c r="C195" s="14" t="s">
        <v>1843</v>
      </c>
      <c r="D195" s="14" t="s">
        <v>1704</v>
      </c>
      <c r="E195" s="14" t="s">
        <v>1546</v>
      </c>
      <c r="F195" s="14" t="s">
        <v>1705</v>
      </c>
      <c r="G195" s="14" t="s">
        <v>1706</v>
      </c>
      <c r="H195" s="14" t="s">
        <v>623</v>
      </c>
      <c r="I195" s="14">
        <v>0</v>
      </c>
      <c r="J195" s="14">
        <v>0</v>
      </c>
      <c r="K195" s="14">
        <v>0</v>
      </c>
    </row>
    <row r="196" spans="1:11">
      <c r="A196" s="16" t="e">
        <f>VLOOKUP(E196,Table1[[#All],[Campo]],1,0)</f>
        <v>#N/A</v>
      </c>
      <c r="B196" s="14" t="s">
        <v>1844</v>
      </c>
      <c r="C196" s="14" t="s">
        <v>1845</v>
      </c>
      <c r="D196" s="14" t="s">
        <v>1704</v>
      </c>
      <c r="E196" s="14" t="s">
        <v>1546</v>
      </c>
      <c r="F196" s="14" t="s">
        <v>1705</v>
      </c>
      <c r="G196" s="14" t="s">
        <v>1706</v>
      </c>
      <c r="H196" s="14" t="s">
        <v>623</v>
      </c>
      <c r="I196" s="14">
        <v>0</v>
      </c>
      <c r="J196" s="14">
        <v>0</v>
      </c>
      <c r="K196" s="14">
        <v>0</v>
      </c>
    </row>
    <row r="197" spans="1:11">
      <c r="A197" s="16" t="e">
        <f>VLOOKUP(E197,Table1[[#All],[Campo]],1,0)</f>
        <v>#N/A</v>
      </c>
      <c r="B197" s="14" t="s">
        <v>1846</v>
      </c>
      <c r="C197" s="14" t="s">
        <v>1847</v>
      </c>
      <c r="D197" s="14" t="s">
        <v>1704</v>
      </c>
      <c r="E197" s="14" t="s">
        <v>1549</v>
      </c>
      <c r="F197" s="14" t="s">
        <v>1705</v>
      </c>
      <c r="G197" s="14" t="s">
        <v>1706</v>
      </c>
      <c r="H197" s="14" t="s">
        <v>623</v>
      </c>
      <c r="I197" s="14">
        <v>0</v>
      </c>
      <c r="J197" s="14">
        <v>0</v>
      </c>
      <c r="K197" s="14">
        <v>0</v>
      </c>
    </row>
    <row r="198" spans="1:11">
      <c r="A198" s="16" t="e">
        <f>VLOOKUP(E198,Table1[[#All],[Campo]],1,0)</f>
        <v>#N/A</v>
      </c>
      <c r="B198" s="14" t="s">
        <v>1848</v>
      </c>
      <c r="C198" s="14" t="s">
        <v>1849</v>
      </c>
      <c r="D198" s="14" t="s">
        <v>1704</v>
      </c>
      <c r="E198" s="14" t="s">
        <v>1549</v>
      </c>
      <c r="F198" s="14" t="s">
        <v>1705</v>
      </c>
      <c r="G198" s="14" t="s">
        <v>1706</v>
      </c>
      <c r="H198" s="14" t="s">
        <v>623</v>
      </c>
      <c r="I198" s="14">
        <v>0</v>
      </c>
      <c r="J198" s="14">
        <v>0</v>
      </c>
      <c r="K198" s="14">
        <v>0</v>
      </c>
    </row>
    <row r="199" spans="1:11">
      <c r="A199" s="16" t="e">
        <f>VLOOKUP(E199,Table1[[#All],[Campo]],1,0)</f>
        <v>#N/A</v>
      </c>
      <c r="B199" s="14" t="s">
        <v>1850</v>
      </c>
      <c r="C199" s="14" t="s">
        <v>1851</v>
      </c>
      <c r="D199" s="14" t="s">
        <v>1704</v>
      </c>
      <c r="E199" s="14" t="s">
        <v>1552</v>
      </c>
      <c r="F199" s="14" t="s">
        <v>1705</v>
      </c>
      <c r="G199" s="14" t="s">
        <v>1706</v>
      </c>
      <c r="H199" s="14" t="s">
        <v>623</v>
      </c>
      <c r="I199" s="14">
        <v>0</v>
      </c>
      <c r="J199" s="14">
        <v>0</v>
      </c>
      <c r="K199" s="14">
        <v>0</v>
      </c>
    </row>
    <row r="200" spans="1:11">
      <c r="A200" s="16" t="e">
        <f>VLOOKUP(E200,Table1[[#All],[Campo]],1,0)</f>
        <v>#N/A</v>
      </c>
      <c r="B200" s="14" t="s">
        <v>1852</v>
      </c>
      <c r="C200" s="14" t="s">
        <v>1853</v>
      </c>
      <c r="D200" s="14" t="s">
        <v>1704</v>
      </c>
      <c r="E200" s="14" t="s">
        <v>1552</v>
      </c>
      <c r="F200" s="14" t="s">
        <v>1705</v>
      </c>
      <c r="G200" s="14" t="s">
        <v>1706</v>
      </c>
      <c r="H200" s="14" t="s">
        <v>623</v>
      </c>
      <c r="I200" s="14">
        <v>0</v>
      </c>
      <c r="J200" s="14">
        <v>0</v>
      </c>
      <c r="K200" s="14">
        <v>0</v>
      </c>
    </row>
    <row r="201" spans="1:11">
      <c r="A201" s="16" t="e">
        <f>VLOOKUP(E201,Table1[[#All],[Campo]],1,0)</f>
        <v>#N/A</v>
      </c>
      <c r="B201" s="14" t="s">
        <v>1854</v>
      </c>
      <c r="C201" s="14" t="s">
        <v>1855</v>
      </c>
      <c r="D201" s="14" t="s">
        <v>1704</v>
      </c>
      <c r="E201" s="14" t="s">
        <v>1552</v>
      </c>
      <c r="F201" s="14" t="s">
        <v>1705</v>
      </c>
      <c r="G201" s="14" t="s">
        <v>1706</v>
      </c>
      <c r="H201" s="14" t="s">
        <v>623</v>
      </c>
      <c r="I201" s="14">
        <v>0</v>
      </c>
      <c r="J201" s="14">
        <v>0</v>
      </c>
      <c r="K201" s="14">
        <v>0</v>
      </c>
    </row>
    <row r="202" spans="1:11">
      <c r="A202" s="16" t="e">
        <f>VLOOKUP(E202,Table1[[#All],[Campo]],1,0)</f>
        <v>#N/A</v>
      </c>
      <c r="B202" s="14" t="s">
        <v>1856</v>
      </c>
      <c r="C202" s="14" t="s">
        <v>1857</v>
      </c>
      <c r="D202" s="14" t="s">
        <v>1704</v>
      </c>
      <c r="E202" s="14" t="s">
        <v>1555</v>
      </c>
      <c r="F202" s="14" t="s">
        <v>1705</v>
      </c>
      <c r="G202" s="14" t="s">
        <v>1706</v>
      </c>
      <c r="H202" s="14" t="s">
        <v>623</v>
      </c>
      <c r="I202" s="14">
        <v>0</v>
      </c>
      <c r="J202" s="14">
        <v>0</v>
      </c>
      <c r="K202" s="14">
        <v>0</v>
      </c>
    </row>
    <row r="203" spans="1:11">
      <c r="A203" s="16" t="e">
        <f>VLOOKUP(E203,Table1[[#All],[Campo]],1,0)</f>
        <v>#N/A</v>
      </c>
      <c r="B203" s="14" t="s">
        <v>1858</v>
      </c>
      <c r="C203" s="14" t="s">
        <v>1859</v>
      </c>
      <c r="D203" s="14" t="s">
        <v>1704</v>
      </c>
      <c r="E203" s="14" t="s">
        <v>1558</v>
      </c>
      <c r="F203" s="14" t="s">
        <v>1705</v>
      </c>
      <c r="G203" s="14" t="s">
        <v>1706</v>
      </c>
      <c r="H203" s="14" t="s">
        <v>623</v>
      </c>
      <c r="I203" s="14">
        <v>0</v>
      </c>
      <c r="J203" s="14">
        <v>0</v>
      </c>
      <c r="K203" s="14">
        <v>0</v>
      </c>
    </row>
    <row r="204" spans="1:11">
      <c r="A204" s="16" t="s">
        <v>1559</v>
      </c>
      <c r="B204" s="14" t="s">
        <v>1860</v>
      </c>
      <c r="C204" s="14" t="s">
        <v>1861</v>
      </c>
      <c r="D204" s="14" t="s">
        <v>1704</v>
      </c>
      <c r="E204" s="14" t="s">
        <v>1562</v>
      </c>
      <c r="F204" s="14" t="s">
        <v>1705</v>
      </c>
      <c r="G204" s="14" t="s">
        <v>1706</v>
      </c>
      <c r="H204" s="14" t="s">
        <v>623</v>
      </c>
      <c r="I204" s="14">
        <v>0</v>
      </c>
      <c r="J204" s="14">
        <v>0</v>
      </c>
      <c r="K204" s="14">
        <v>0</v>
      </c>
    </row>
    <row r="205" spans="1:11">
      <c r="A205" s="16" t="s">
        <v>1559</v>
      </c>
      <c r="B205" s="14" t="s">
        <v>1862</v>
      </c>
      <c r="C205" s="14" t="s">
        <v>1863</v>
      </c>
      <c r="D205" s="14" t="s">
        <v>1704</v>
      </c>
      <c r="E205" s="14" t="s">
        <v>1562</v>
      </c>
      <c r="F205" s="14" t="s">
        <v>1705</v>
      </c>
      <c r="G205" s="14" t="s">
        <v>1706</v>
      </c>
      <c r="H205" s="14" t="s">
        <v>623</v>
      </c>
      <c r="I205" s="14">
        <v>0</v>
      </c>
      <c r="J205" s="14">
        <v>0</v>
      </c>
      <c r="K205" s="14">
        <v>0</v>
      </c>
    </row>
    <row r="206" spans="1:11">
      <c r="A206" s="16" t="s">
        <v>1559</v>
      </c>
      <c r="B206" s="14" t="s">
        <v>1864</v>
      </c>
      <c r="C206" s="14" t="s">
        <v>1865</v>
      </c>
      <c r="D206" s="14" t="s">
        <v>1704</v>
      </c>
      <c r="E206" s="14" t="s">
        <v>1562</v>
      </c>
      <c r="F206" s="14" t="s">
        <v>1705</v>
      </c>
      <c r="G206" s="14" t="s">
        <v>1706</v>
      </c>
      <c r="H206" s="14" t="s">
        <v>623</v>
      </c>
      <c r="I206" s="14">
        <v>0</v>
      </c>
      <c r="J206" s="14">
        <v>0</v>
      </c>
      <c r="K206" s="14">
        <v>0</v>
      </c>
    </row>
    <row r="207" spans="1:11">
      <c r="A207" s="16" t="s">
        <v>1563</v>
      </c>
      <c r="B207" s="14" t="s">
        <v>1866</v>
      </c>
      <c r="C207" s="14" t="s">
        <v>1867</v>
      </c>
      <c r="D207" s="14" t="s">
        <v>1704</v>
      </c>
      <c r="E207" s="14" t="s">
        <v>1566</v>
      </c>
      <c r="F207" s="14" t="s">
        <v>1705</v>
      </c>
      <c r="G207" s="14" t="s">
        <v>1706</v>
      </c>
      <c r="H207" s="14" t="s">
        <v>623</v>
      </c>
      <c r="I207" s="14">
        <v>0</v>
      </c>
      <c r="J207" s="14">
        <v>0</v>
      </c>
      <c r="K207" s="14">
        <v>0</v>
      </c>
    </row>
    <row r="208" spans="1:11">
      <c r="A208" s="16" t="s">
        <v>1563</v>
      </c>
      <c r="B208" s="14" t="s">
        <v>1868</v>
      </c>
      <c r="C208" s="14" t="s">
        <v>1869</v>
      </c>
      <c r="D208" s="14" t="s">
        <v>1704</v>
      </c>
      <c r="E208" s="14" t="s">
        <v>1566</v>
      </c>
      <c r="F208" s="14" t="s">
        <v>1705</v>
      </c>
      <c r="G208" s="14" t="s">
        <v>1706</v>
      </c>
      <c r="H208" s="14" t="s">
        <v>623</v>
      </c>
      <c r="I208" s="14">
        <v>0</v>
      </c>
      <c r="J208" s="14">
        <v>0</v>
      </c>
      <c r="K208" s="14">
        <v>0</v>
      </c>
    </row>
    <row r="209" spans="1:11">
      <c r="A209" s="16" t="s">
        <v>1563</v>
      </c>
      <c r="B209" s="14" t="s">
        <v>1870</v>
      </c>
      <c r="C209" s="14" t="s">
        <v>1871</v>
      </c>
      <c r="D209" s="14" t="s">
        <v>1704</v>
      </c>
      <c r="E209" s="14" t="s">
        <v>1566</v>
      </c>
      <c r="F209" s="14" t="s">
        <v>1705</v>
      </c>
      <c r="G209" s="14" t="s">
        <v>1706</v>
      </c>
      <c r="H209" s="14" t="s">
        <v>623</v>
      </c>
      <c r="I209" s="14">
        <v>0</v>
      </c>
      <c r="J209" s="14">
        <v>0</v>
      </c>
      <c r="K209" s="14">
        <v>0</v>
      </c>
    </row>
    <row r="210" spans="1:11">
      <c r="A210" s="16" t="e">
        <f>VLOOKUP(E210,Table1[[#All],[Campo]],1,0)</f>
        <v>#N/A</v>
      </c>
      <c r="B210" s="14" t="s">
        <v>1872</v>
      </c>
      <c r="C210" s="14" t="s">
        <v>1873</v>
      </c>
      <c r="D210" s="14" t="s">
        <v>1704</v>
      </c>
      <c r="E210" s="14" t="s">
        <v>1572</v>
      </c>
      <c r="F210" s="14" t="s">
        <v>1705</v>
      </c>
      <c r="G210" s="14" t="s">
        <v>1706</v>
      </c>
      <c r="H210" s="14" t="s">
        <v>623</v>
      </c>
      <c r="I210" s="14">
        <v>0</v>
      </c>
      <c r="J210" s="14">
        <v>0</v>
      </c>
      <c r="K210" s="14">
        <v>0</v>
      </c>
    </row>
    <row r="211" spans="1:11">
      <c r="A211" s="16" t="e">
        <f>VLOOKUP(E211,Table1[[#All],[Campo]],1,0)</f>
        <v>#N/A</v>
      </c>
      <c r="B211" s="14" t="s">
        <v>1874</v>
      </c>
      <c r="C211" s="14" t="s">
        <v>1875</v>
      </c>
      <c r="D211" s="14" t="s">
        <v>1704</v>
      </c>
      <c r="E211" s="14" t="s">
        <v>1572</v>
      </c>
      <c r="F211" s="14" t="s">
        <v>1705</v>
      </c>
      <c r="G211" s="14" t="s">
        <v>1706</v>
      </c>
      <c r="H211" s="14" t="s">
        <v>623</v>
      </c>
      <c r="I211" s="14">
        <v>0</v>
      </c>
      <c r="J211" s="14">
        <v>0</v>
      </c>
      <c r="K211" s="14">
        <v>0</v>
      </c>
    </row>
    <row r="212" spans="1:11">
      <c r="A212" s="16" t="e">
        <f>VLOOKUP(E212,Table1[[#All],[Campo]],1,0)</f>
        <v>#N/A</v>
      </c>
      <c r="B212" s="14" t="s">
        <v>1876</v>
      </c>
      <c r="C212" s="14" t="s">
        <v>1877</v>
      </c>
      <c r="D212" s="14" t="s">
        <v>1704</v>
      </c>
      <c r="E212" s="14" t="s">
        <v>1575</v>
      </c>
      <c r="F212" s="14" t="s">
        <v>1705</v>
      </c>
      <c r="G212" s="14" t="s">
        <v>1706</v>
      </c>
      <c r="H212" s="14" t="s">
        <v>623</v>
      </c>
      <c r="I212" s="14">
        <v>0</v>
      </c>
      <c r="J212" s="14">
        <v>0</v>
      </c>
      <c r="K212" s="14">
        <v>0</v>
      </c>
    </row>
    <row r="213" spans="1:11">
      <c r="A213" s="16" t="str">
        <f>VLOOKUP(E213,Table1[[#All],[Campo]],1,0)</f>
        <v>cod_soc</v>
      </c>
      <c r="B213" s="14" t="s">
        <v>1878</v>
      </c>
      <c r="C213" s="14" t="s">
        <v>1879</v>
      </c>
      <c r="D213" s="14" t="s">
        <v>1450</v>
      </c>
      <c r="E213" s="14" t="s">
        <v>1374</v>
      </c>
      <c r="F213" s="14" t="s">
        <v>1880</v>
      </c>
      <c r="G213" s="14" t="s">
        <v>1881</v>
      </c>
      <c r="H213" s="14" t="s">
        <v>623</v>
      </c>
      <c r="I213" s="14">
        <v>1096295</v>
      </c>
      <c r="J213" s="14">
        <v>0</v>
      </c>
      <c r="K213" s="14">
        <v>0</v>
      </c>
    </row>
    <row r="214" spans="1:11">
      <c r="A214" s="16" t="str">
        <f>VLOOKUP(E214,Table1[[#All],[Campo]],1,0)</f>
        <v>dt_rfrnc</v>
      </c>
      <c r="B214" s="14" t="s">
        <v>1882</v>
      </c>
      <c r="C214" s="14" t="s">
        <v>1883</v>
      </c>
      <c r="D214" s="14" t="s">
        <v>1450</v>
      </c>
      <c r="E214" s="14" t="s">
        <v>1379</v>
      </c>
      <c r="F214" s="14" t="s">
        <v>1880</v>
      </c>
      <c r="G214" s="14" t="s">
        <v>1881</v>
      </c>
      <c r="H214" s="14" t="s">
        <v>623</v>
      </c>
      <c r="I214" s="14">
        <v>1096295</v>
      </c>
      <c r="J214" s="14">
        <v>0</v>
      </c>
      <c r="K214" s="14">
        <v>0</v>
      </c>
    </row>
    <row r="215" spans="1:11">
      <c r="A215" s="16" t="str">
        <f>VLOOKUP(E215,Table1[[#All],[Campo]],1,0)</f>
        <v>cod_soc</v>
      </c>
      <c r="B215" s="14" t="s">
        <v>1884</v>
      </c>
      <c r="C215" s="14" t="s">
        <v>1885</v>
      </c>
      <c r="D215" s="14" t="s">
        <v>1457</v>
      </c>
      <c r="E215" s="14" t="s">
        <v>1374</v>
      </c>
      <c r="F215" s="14" t="s">
        <v>1880</v>
      </c>
      <c r="G215" s="14" t="s">
        <v>1886</v>
      </c>
      <c r="H215" s="14" t="s">
        <v>623</v>
      </c>
      <c r="I215" s="14">
        <v>2490665</v>
      </c>
      <c r="J215" s="14">
        <v>0</v>
      </c>
      <c r="K215" s="14">
        <v>0</v>
      </c>
    </row>
    <row r="216" spans="1:11">
      <c r="A216" s="16" t="str">
        <f>VLOOKUP(E216,Table1[[#All],[Campo]],1,0)</f>
        <v>dt_rfrnc</v>
      </c>
      <c r="B216" s="14" t="s">
        <v>1887</v>
      </c>
      <c r="C216" s="14" t="s">
        <v>1888</v>
      </c>
      <c r="D216" s="14" t="s">
        <v>1457</v>
      </c>
      <c r="E216" s="14" t="s">
        <v>1379</v>
      </c>
      <c r="F216" s="14" t="s">
        <v>1880</v>
      </c>
      <c r="G216" s="14" t="s">
        <v>1886</v>
      </c>
      <c r="H216" s="14" t="s">
        <v>623</v>
      </c>
      <c r="I216" s="14">
        <v>2490665</v>
      </c>
      <c r="J216" s="14">
        <v>0</v>
      </c>
      <c r="K216" s="14">
        <v>0</v>
      </c>
    </row>
    <row r="217" spans="1:11">
      <c r="A217" s="16" t="str">
        <f>VLOOKUP(E217,Table1[[#All],[Campo]],1,0)</f>
        <v>cod_soc</v>
      </c>
      <c r="B217" s="14" t="s">
        <v>1889</v>
      </c>
      <c r="C217" s="14" t="s">
        <v>1890</v>
      </c>
      <c r="D217" s="14" t="s">
        <v>1396</v>
      </c>
      <c r="E217" s="14" t="s">
        <v>1374</v>
      </c>
      <c r="F217" s="14" t="s">
        <v>1880</v>
      </c>
      <c r="G217" s="14" t="s">
        <v>1891</v>
      </c>
      <c r="H217" s="14" t="s">
        <v>623</v>
      </c>
      <c r="I217" s="14">
        <v>2003033</v>
      </c>
      <c r="J217" s="14">
        <v>0</v>
      </c>
      <c r="K217" s="14">
        <v>0</v>
      </c>
    </row>
    <row r="218" spans="1:11">
      <c r="A218" s="16" t="str">
        <f>VLOOKUP(E218,Table1[[#All],[Campo]],1,0)</f>
        <v>dt_rfrnc</v>
      </c>
      <c r="B218" s="14" t="s">
        <v>1892</v>
      </c>
      <c r="C218" s="14" t="s">
        <v>1893</v>
      </c>
      <c r="D218" s="14" t="s">
        <v>1396</v>
      </c>
      <c r="E218" s="14" t="s">
        <v>1379</v>
      </c>
      <c r="F218" s="14" t="s">
        <v>1880</v>
      </c>
      <c r="G218" s="14" t="s">
        <v>1891</v>
      </c>
      <c r="H218" s="14" t="s">
        <v>623</v>
      </c>
      <c r="I218" s="14">
        <v>2003033</v>
      </c>
      <c r="J218" s="14">
        <v>0</v>
      </c>
      <c r="K218" s="14">
        <v>0</v>
      </c>
    </row>
    <row r="219" spans="1:11">
      <c r="A219" s="16" t="str">
        <f>VLOOKUP(E219,Table1[[#All],[Campo]],1,0)</f>
        <v>cod_soc</v>
      </c>
      <c r="B219" s="14" t="s">
        <v>1894</v>
      </c>
      <c r="C219" s="14" t="s">
        <v>1895</v>
      </c>
      <c r="D219" s="14" t="s">
        <v>1447</v>
      </c>
      <c r="E219" s="14" t="s">
        <v>1374</v>
      </c>
      <c r="F219" s="14" t="s">
        <v>1880</v>
      </c>
      <c r="G219" s="14" t="s">
        <v>1896</v>
      </c>
      <c r="H219" s="14" t="s">
        <v>623</v>
      </c>
      <c r="I219" s="14">
        <v>731165</v>
      </c>
      <c r="J219" s="14">
        <v>0</v>
      </c>
      <c r="K219" s="14">
        <v>0</v>
      </c>
    </row>
    <row r="220" spans="1:11">
      <c r="A220" s="16" t="str">
        <f>VLOOKUP(E220,Table1[[#All],[Campo]],1,0)</f>
        <v>dt_rfrnc</v>
      </c>
      <c r="B220" s="14" t="s">
        <v>1897</v>
      </c>
      <c r="C220" s="14" t="s">
        <v>1898</v>
      </c>
      <c r="D220" s="14" t="s">
        <v>1447</v>
      </c>
      <c r="E220" s="14" t="s">
        <v>1379</v>
      </c>
      <c r="F220" s="14" t="s">
        <v>1880</v>
      </c>
      <c r="G220" s="14" t="s">
        <v>1896</v>
      </c>
      <c r="H220" s="14" t="s">
        <v>623</v>
      </c>
      <c r="I220" s="14">
        <v>731165</v>
      </c>
      <c r="J220" s="14">
        <v>0</v>
      </c>
      <c r="K220" s="14">
        <v>0</v>
      </c>
    </row>
    <row r="221" spans="1:11">
      <c r="A221" s="16" t="str">
        <f>VLOOKUP(E221,Table1[[#All],[Campo]],1,0)</f>
        <v>cod_soc</v>
      </c>
      <c r="B221" s="14" t="s">
        <v>1899</v>
      </c>
      <c r="C221" s="14" t="s">
        <v>1900</v>
      </c>
      <c r="D221" s="14" t="s">
        <v>1612</v>
      </c>
      <c r="E221" s="14" t="s">
        <v>1374</v>
      </c>
      <c r="F221" s="14" t="s">
        <v>1880</v>
      </c>
      <c r="G221" s="14" t="s">
        <v>1901</v>
      </c>
      <c r="H221" s="14" t="s">
        <v>623</v>
      </c>
      <c r="I221" s="14">
        <v>456960</v>
      </c>
      <c r="J221" s="14">
        <v>0</v>
      </c>
      <c r="K221" s="14">
        <v>0</v>
      </c>
    </row>
    <row r="222" spans="1:11">
      <c r="A222" s="16" t="str">
        <f>VLOOKUP(E222,Table1[[#All],[Campo]],1,0)</f>
        <v>dt_rfrnc</v>
      </c>
      <c r="B222" s="14" t="s">
        <v>1902</v>
      </c>
      <c r="C222" s="14" t="s">
        <v>1903</v>
      </c>
      <c r="D222" s="14" t="s">
        <v>1612</v>
      </c>
      <c r="E222" s="14" t="s">
        <v>1379</v>
      </c>
      <c r="F222" s="14" t="s">
        <v>1880</v>
      </c>
      <c r="G222" s="14" t="s">
        <v>1901</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1904</v>
      </c>
    </row>
    <row r="3" spans="2:10" ht="17.399999999999999">
      <c r="B3" s="17" t="s">
        <v>1905</v>
      </c>
      <c r="D3" t="s">
        <v>1232</v>
      </c>
    </row>
    <row r="4" spans="2:10" ht="17.399999999999999">
      <c r="B4" s="53" t="s">
        <v>1906</v>
      </c>
      <c r="C4" s="53" t="s">
        <v>1907</v>
      </c>
      <c r="D4" s="52" t="s">
        <v>1253</v>
      </c>
      <c r="E4" s="52" t="s">
        <v>1254</v>
      </c>
      <c r="F4" s="52" t="s">
        <v>1245</v>
      </c>
      <c r="H4" s="31" t="s">
        <v>1253</v>
      </c>
      <c r="I4" s="31" t="s">
        <v>1254</v>
      </c>
      <c r="J4" s="31" t="s">
        <v>1245</v>
      </c>
    </row>
    <row r="5" spans="2:10" ht="34.799999999999997">
      <c r="B5" s="2" t="s">
        <v>1243</v>
      </c>
      <c r="C5" s="4" t="s">
        <v>1908</v>
      </c>
      <c r="D5">
        <v>8</v>
      </c>
      <c r="E5">
        <v>8</v>
      </c>
      <c r="F5">
        <v>8</v>
      </c>
      <c r="H5" s="31">
        <v>1</v>
      </c>
      <c r="I5" s="31">
        <v>3</v>
      </c>
      <c r="J5" s="31">
        <v>8</v>
      </c>
    </row>
    <row r="6" spans="2:10" ht="34.799999999999997">
      <c r="B6" s="2" t="s">
        <v>1246</v>
      </c>
      <c r="C6" s="4" t="s">
        <v>1909</v>
      </c>
      <c r="D6">
        <v>2</v>
      </c>
      <c r="E6">
        <v>4</v>
      </c>
      <c r="F6">
        <v>8</v>
      </c>
      <c r="H6" s="31">
        <v>1</v>
      </c>
      <c r="I6" s="31">
        <v>3</v>
      </c>
      <c r="J6" s="31">
        <v>4</v>
      </c>
    </row>
    <row r="7" spans="2:10" ht="17.399999999999999">
      <c r="B7" s="2" t="s">
        <v>1247</v>
      </c>
      <c r="C7" s="4" t="s">
        <v>1910</v>
      </c>
      <c r="D7">
        <v>2</v>
      </c>
      <c r="E7">
        <v>4</v>
      </c>
      <c r="F7">
        <v>8</v>
      </c>
      <c r="H7" s="31">
        <v>1</v>
      </c>
      <c r="I7" s="31">
        <v>1</v>
      </c>
      <c r="J7" s="31">
        <v>2</v>
      </c>
    </row>
    <row r="8" spans="2:10" ht="17.399999999999999">
      <c r="B8" s="28" t="s">
        <v>1248</v>
      </c>
      <c r="C8" s="4" t="s">
        <v>1911</v>
      </c>
      <c r="D8">
        <v>2</v>
      </c>
      <c r="E8">
        <v>4</v>
      </c>
      <c r="F8">
        <v>8</v>
      </c>
      <c r="H8" s="31">
        <v>2</v>
      </c>
      <c r="I8" s="31">
        <v>4</v>
      </c>
      <c r="J8" s="31">
        <v>4</v>
      </c>
    </row>
    <row r="9" spans="2:10" ht="17.399999999999999">
      <c r="B9" s="29" t="s">
        <v>1251</v>
      </c>
      <c r="C9" s="4" t="s">
        <v>1912</v>
      </c>
      <c r="D9">
        <v>1</v>
      </c>
      <c r="E9">
        <v>1</v>
      </c>
      <c r="F9">
        <v>1</v>
      </c>
      <c r="H9" s="31"/>
      <c r="I9" s="31"/>
      <c r="J9" s="31"/>
    </row>
    <row r="10" spans="2:10" ht="52.2">
      <c r="B10" s="2" t="s">
        <v>1249</v>
      </c>
      <c r="C10" s="4" t="s">
        <v>1913</v>
      </c>
      <c r="D10">
        <v>0.1</v>
      </c>
      <c r="E10">
        <v>0.1</v>
      </c>
      <c r="F10">
        <v>0.1</v>
      </c>
      <c r="H10" s="31">
        <v>0.1</v>
      </c>
      <c r="I10" s="31">
        <v>0.5</v>
      </c>
      <c r="J10" s="31">
        <v>0.5</v>
      </c>
    </row>
    <row r="11" spans="2:10" ht="17.399999999999999">
      <c r="B11" s="29" t="s">
        <v>1250</v>
      </c>
      <c r="C11" s="4" t="s">
        <v>1914</v>
      </c>
      <c r="D11">
        <v>1</v>
      </c>
      <c r="E11">
        <v>2</v>
      </c>
      <c r="F11">
        <v>2</v>
      </c>
      <c r="H11" s="31"/>
      <c r="I11" s="31"/>
      <c r="J11" s="31"/>
    </row>
    <row r="12" spans="2:10" ht="17.399999999999999">
      <c r="B12" s="29" t="s">
        <v>1290</v>
      </c>
      <c r="C12" s="4" t="s">
        <v>1915</v>
      </c>
      <c r="D12">
        <v>0.5</v>
      </c>
      <c r="E12">
        <v>0.5</v>
      </c>
      <c r="F12">
        <v>0.5</v>
      </c>
      <c r="H12" s="31">
        <v>0.5</v>
      </c>
      <c r="I12" s="31">
        <v>0.5</v>
      </c>
      <c r="J12" s="31">
        <v>0.5</v>
      </c>
    </row>
    <row r="13" spans="2:10" ht="34.799999999999997">
      <c r="B13" s="34" t="s">
        <v>1257</v>
      </c>
      <c r="C13" s="4" t="s">
        <v>1916</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1917</v>
      </c>
      <c r="B17" s="18" t="s">
        <v>614</v>
      </c>
      <c r="C17">
        <v>4</v>
      </c>
      <c r="D17" s="96">
        <v>0.25</v>
      </c>
      <c r="E17" s="96">
        <v>0</v>
      </c>
    </row>
    <row r="18" spans="1:5" ht="17.399999999999999">
      <c r="B18" s="24" t="s">
        <v>28</v>
      </c>
      <c r="C18">
        <v>8</v>
      </c>
      <c r="D18" s="96">
        <v>0</v>
      </c>
      <c r="E18" s="96">
        <v>0</v>
      </c>
    </row>
    <row r="19" spans="1:5" ht="17.399999999999999">
      <c r="B19" s="1" t="s">
        <v>1921</v>
      </c>
      <c r="C19">
        <f>_xlfn.NUMBERVALUE(LEFT(B19,1))</f>
        <v>2</v>
      </c>
      <c r="D19" s="96">
        <v>0.5</v>
      </c>
      <c r="E19" s="96">
        <v>0.25</v>
      </c>
    </row>
    <row r="20" spans="1:5" ht="17.399999999999999">
      <c r="B20" s="1" t="s">
        <v>1922</v>
      </c>
      <c r="C20">
        <v>3</v>
      </c>
      <c r="D20" s="96">
        <v>0.5</v>
      </c>
      <c r="E20" s="96">
        <v>0</v>
      </c>
    </row>
    <row r="21" spans="1:5" ht="17.399999999999999">
      <c r="A21" t="s">
        <v>1918</v>
      </c>
      <c r="B21" s="25" t="s">
        <v>615</v>
      </c>
      <c r="C21">
        <v>5</v>
      </c>
      <c r="D21" s="96">
        <v>0.25</v>
      </c>
      <c r="E21" s="96">
        <v>0.25</v>
      </c>
    </row>
    <row r="22" spans="1:5" ht="17.399999999999999">
      <c r="A22" t="s">
        <v>1919</v>
      </c>
      <c r="B22" s="19" t="s">
        <v>616</v>
      </c>
      <c r="C22">
        <v>6</v>
      </c>
      <c r="D22" s="96">
        <v>0.25</v>
      </c>
      <c r="E22" s="96">
        <v>0</v>
      </c>
    </row>
    <row r="23" spans="1:5" ht="17.399999999999999">
      <c r="A23" t="s">
        <v>1919</v>
      </c>
      <c r="B23" s="19" t="s">
        <v>618</v>
      </c>
      <c r="C23">
        <v>7</v>
      </c>
      <c r="D23" s="96">
        <v>0.25</v>
      </c>
      <c r="E23" s="96">
        <v>0</v>
      </c>
    </row>
    <row r="24" spans="1:5" ht="17.399999999999999">
      <c r="A24" t="s">
        <v>1920</v>
      </c>
      <c r="B24" s="1" t="s">
        <v>612</v>
      </c>
      <c r="C24">
        <f>_xlfn.NUMBERVALUE(LEFT(B24,1))</f>
        <v>0</v>
      </c>
      <c r="D24" s="96">
        <v>0</v>
      </c>
      <c r="E24" s="96">
        <v>0</v>
      </c>
    </row>
  </sheetData>
  <conditionalFormatting sqref="B16:B24">
    <cfRule type="cellIs" dxfId="5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2"/>
  <sheetViews>
    <sheetView showGridLines="0" topLeftCell="A135" zoomScale="70" zoomScaleNormal="70" workbookViewId="0">
      <selection activeCell="E203" sqref="E203"/>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11.398437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customWidth="1" outlineLevel="1"/>
    <col min="45" max="45" width="5.69921875" customWidth="1"/>
    <col min="46" max="49" width="5.69921875" customWidth="1" outlineLevel="1"/>
    <col min="50" max="50" width="5.69921875" customWidth="1"/>
    <col min="51" max="54" width="5.69921875" customWidth="1" outlineLevel="1"/>
    <col min="55" max="55" width="5.69921875" customWidth="1"/>
    <col min="56" max="59" width="5.69921875" customWidth="1" outlineLevel="1"/>
    <col min="60" max="60" width="5.69921875" customWidth="1"/>
    <col min="61" max="64" width="5.69921875" customWidth="1" outlineLevel="1"/>
    <col min="65" max="66" width="5.69921875" customWidth="1"/>
    <col min="67" max="69" width="5.69921875" customWidth="1" outlineLevel="1"/>
    <col min="70" max="70" width="5.69921875" customWidth="1"/>
    <col min="71" max="74" width="5.69921875" customWidth="1" outlineLevel="1"/>
    <col min="75" max="75" width="5.69921875" customWidth="1"/>
    <col min="76" max="79" width="5.69921875" customWidth="1" outlineLevel="1"/>
    <col min="80" max="80" width="5.69921875" customWidth="1"/>
    <col min="81" max="84" width="5.69921875" customWidth="1" outlineLevel="1"/>
    <col min="85" max="85" width="5.69921875" customWidth="1"/>
    <col min="86" max="86" width="5.69921875" customWidth="1" outlineLevel="1"/>
    <col min="87" max="87" width="5.69921875" customWidth="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2001</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-3</v>
      </c>
      <c r="CH6">
        <f t="shared" si="1"/>
        <v>-2</v>
      </c>
      <c r="CI6">
        <f t="shared" si="1"/>
        <v>-2</v>
      </c>
    </row>
    <row r="7" spans="1:87" hidden="1">
      <c r="O7"/>
      <c r="P7"/>
      <c r="Q7"/>
      <c r="R7" s="257"/>
      <c r="Y7" s="252">
        <f t="shared" ref="Y7:AD7" si="2">SUM(Y17:Y253)</f>
        <v>0</v>
      </c>
      <c r="Z7" s="252">
        <f t="shared" si="2"/>
        <v>0.5</v>
      </c>
      <c r="AA7" s="252">
        <f t="shared" si="2"/>
        <v>0</v>
      </c>
      <c r="AB7" s="252">
        <f t="shared" si="2"/>
        <v>0</v>
      </c>
      <c r="AC7" s="252">
        <f t="shared" si="2"/>
        <v>0</v>
      </c>
      <c r="AD7" s="252">
        <f t="shared" si="2"/>
        <v>0</v>
      </c>
      <c r="AE7" s="252"/>
      <c r="AF7" s="252"/>
      <c r="AG7" s="252"/>
      <c r="AH7" s="252"/>
      <c r="AI7" s="252"/>
      <c r="AJ7" s="252"/>
      <c r="AK7" s="252"/>
      <c r="AL7" s="252"/>
      <c r="AM7" s="252"/>
      <c r="AN7" s="252"/>
      <c r="AO7" s="252"/>
      <c r="AP7" s="252"/>
      <c r="AQ7" s="252"/>
      <c r="AR7" s="252"/>
      <c r="AS7" s="252"/>
      <c r="AT7" s="252"/>
      <c r="AU7" s="252"/>
      <c r="AV7" s="252"/>
      <c r="AW7" s="252"/>
      <c r="AX7" s="252"/>
      <c r="AY7" s="252">
        <f t="shared" ref="AY7:CI7" si="3">SUM(AY17:AY253)</f>
        <v>3</v>
      </c>
      <c r="AZ7" s="252">
        <f t="shared" si="3"/>
        <v>3.0000000000000004</v>
      </c>
      <c r="BA7" s="252">
        <f t="shared" si="3"/>
        <v>3</v>
      </c>
      <c r="BB7" s="252">
        <f t="shared" si="3"/>
        <v>2</v>
      </c>
      <c r="BC7" s="252">
        <f t="shared" si="3"/>
        <v>2.6</v>
      </c>
      <c r="BD7" s="252">
        <f t="shared" si="3"/>
        <v>1</v>
      </c>
      <c r="BE7" s="252">
        <f t="shared" si="3"/>
        <v>1.5</v>
      </c>
      <c r="BF7" s="252">
        <f t="shared" si="3"/>
        <v>2</v>
      </c>
      <c r="BG7" s="252">
        <f t="shared" si="3"/>
        <v>2.5</v>
      </c>
      <c r="BH7" s="252">
        <f t="shared" si="3"/>
        <v>6.1</v>
      </c>
      <c r="BI7" s="252">
        <f t="shared" si="3"/>
        <v>3</v>
      </c>
      <c r="BJ7" s="252">
        <f t="shared" si="3"/>
        <v>3</v>
      </c>
      <c r="BK7" s="252">
        <f t="shared" si="3"/>
        <v>3</v>
      </c>
      <c r="BL7" s="252">
        <f t="shared" si="3"/>
        <v>4</v>
      </c>
      <c r="BM7" s="252">
        <f t="shared" si="3"/>
        <v>3.0000000000000009</v>
      </c>
      <c r="BN7" s="252">
        <f t="shared" si="3"/>
        <v>3</v>
      </c>
      <c r="BO7" s="252">
        <f t="shared" si="3"/>
        <v>0</v>
      </c>
      <c r="BP7" s="252">
        <f t="shared" si="3"/>
        <v>0</v>
      </c>
      <c r="BQ7" s="252">
        <f t="shared" si="3"/>
        <v>0</v>
      </c>
      <c r="BR7" s="252">
        <f t="shared" si="3"/>
        <v>0</v>
      </c>
      <c r="BS7" s="252">
        <f t="shared" si="3"/>
        <v>0</v>
      </c>
      <c r="BT7" s="252">
        <f t="shared" si="3"/>
        <v>0</v>
      </c>
      <c r="BU7" s="252">
        <f t="shared" si="3"/>
        <v>0</v>
      </c>
      <c r="BV7" s="252">
        <f t="shared" si="3"/>
        <v>0.2</v>
      </c>
      <c r="BW7" s="252">
        <f t="shared" si="3"/>
        <v>0</v>
      </c>
      <c r="BX7" s="252">
        <f t="shared" si="3"/>
        <v>3</v>
      </c>
      <c r="BY7" s="252">
        <f t="shared" si="3"/>
        <v>3</v>
      </c>
      <c r="BZ7" s="252">
        <f t="shared" si="3"/>
        <v>2</v>
      </c>
      <c r="CA7" s="252">
        <f t="shared" si="3"/>
        <v>1</v>
      </c>
      <c r="CB7" s="252">
        <f t="shared" si="3"/>
        <v>0.5</v>
      </c>
      <c r="CC7" s="252">
        <f t="shared" si="3"/>
        <v>0</v>
      </c>
      <c r="CD7" s="252">
        <f t="shared" si="3"/>
        <v>1</v>
      </c>
      <c r="CE7" s="252">
        <f t="shared" si="3"/>
        <v>1</v>
      </c>
      <c r="CF7" s="252">
        <f t="shared" si="3"/>
        <v>0</v>
      </c>
      <c r="CG7" s="252">
        <f t="shared" si="3"/>
        <v>0</v>
      </c>
      <c r="CH7" s="252">
        <f t="shared" si="3"/>
        <v>1</v>
      </c>
      <c r="CI7" s="252">
        <f t="shared" si="3"/>
        <v>1</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1938</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1939</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2019</v>
      </c>
      <c r="J15" s="266" t="s">
        <v>2019</v>
      </c>
      <c r="K15" s="266" t="s">
        <v>2019</v>
      </c>
      <c r="L15" s="266" t="s">
        <v>2019</v>
      </c>
      <c r="M15" s="266" t="s">
        <v>2019</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3" customFormat="1" ht="17.399999999999999">
      <c r="A16" s="273"/>
      <c r="B16" s="211" t="s">
        <v>8</v>
      </c>
      <c r="C16" s="212" t="s">
        <v>9</v>
      </c>
      <c r="D16" s="212" t="s">
        <v>10</v>
      </c>
      <c r="E16" s="212" t="s">
        <v>11</v>
      </c>
      <c r="F16" s="212" t="s">
        <v>1971</v>
      </c>
      <c r="G16" s="212" t="s">
        <v>12</v>
      </c>
      <c r="H16" s="212" t="s">
        <v>640</v>
      </c>
      <c r="I16" s="319" t="s">
        <v>1940</v>
      </c>
      <c r="J16" s="319" t="s">
        <v>2021</v>
      </c>
      <c r="K16" s="214" t="s">
        <v>2022</v>
      </c>
      <c r="L16" s="319" t="s">
        <v>1999</v>
      </c>
      <c r="M16" s="319" t="s">
        <v>2000</v>
      </c>
      <c r="N16" s="319" t="s">
        <v>2020</v>
      </c>
      <c r="O16" s="212" t="s">
        <v>1997</v>
      </c>
      <c r="P16" s="212" t="s">
        <v>1998</v>
      </c>
      <c r="Q16" s="212" t="s">
        <v>2002</v>
      </c>
      <c r="R16" s="320" t="s">
        <v>22</v>
      </c>
      <c r="S16" s="217" t="s">
        <v>1236</v>
      </c>
      <c r="T16" s="217" t="s">
        <v>1941</v>
      </c>
      <c r="U16" s="217" t="s">
        <v>1942</v>
      </c>
      <c r="V16" s="215" t="s">
        <v>1943</v>
      </c>
      <c r="W16" s="321">
        <v>23</v>
      </c>
      <c r="X16" s="321">
        <v>45589</v>
      </c>
      <c r="Y16" s="321">
        <v>45590</v>
      </c>
      <c r="Z16" s="321">
        <v>45593</v>
      </c>
      <c r="AA16" s="321">
        <v>45594</v>
      </c>
      <c r="AB16" s="321">
        <v>45595</v>
      </c>
      <c r="AC16" s="321">
        <v>45596</v>
      </c>
      <c r="AD16" s="321">
        <v>45597</v>
      </c>
      <c r="AE16" s="321">
        <v>45600</v>
      </c>
      <c r="AF16" s="321">
        <v>45601</v>
      </c>
      <c r="AG16" s="321">
        <v>45602</v>
      </c>
      <c r="AH16" s="321">
        <v>45603</v>
      </c>
      <c r="AI16" s="321">
        <v>45604</v>
      </c>
      <c r="AJ16" s="321">
        <v>45607</v>
      </c>
      <c r="AK16" s="321">
        <v>45608</v>
      </c>
      <c r="AL16" s="321">
        <v>45609</v>
      </c>
      <c r="AM16" s="321">
        <v>45610</v>
      </c>
      <c r="AN16" s="321">
        <v>45611</v>
      </c>
      <c r="AO16" s="321">
        <v>45614</v>
      </c>
      <c r="AP16" s="321">
        <v>45615</v>
      </c>
      <c r="AQ16" s="321">
        <v>45616</v>
      </c>
      <c r="AR16" s="321">
        <v>45617</v>
      </c>
      <c r="AS16" s="321">
        <v>45618</v>
      </c>
      <c r="AT16" s="321">
        <v>45621</v>
      </c>
      <c r="AU16" s="321">
        <v>45622</v>
      </c>
      <c r="AV16" s="321">
        <v>45623</v>
      </c>
      <c r="AW16" s="321">
        <v>45624</v>
      </c>
      <c r="AX16" s="321">
        <v>45625</v>
      </c>
      <c r="AY16" s="321">
        <v>45628</v>
      </c>
      <c r="AZ16" s="321">
        <v>45629</v>
      </c>
      <c r="BA16" s="321">
        <v>45630</v>
      </c>
      <c r="BB16" s="321">
        <v>45631</v>
      </c>
      <c r="BC16" s="321">
        <v>45632</v>
      </c>
      <c r="BD16" s="321">
        <v>45635</v>
      </c>
      <c r="BE16" s="321">
        <v>45636</v>
      </c>
      <c r="BF16" s="321">
        <v>45637</v>
      </c>
      <c r="BG16" s="321">
        <v>45638</v>
      </c>
      <c r="BH16" s="321">
        <v>45639</v>
      </c>
      <c r="BI16" s="321">
        <v>45642</v>
      </c>
      <c r="BJ16" s="321">
        <v>45643</v>
      </c>
      <c r="BK16" s="321">
        <v>45644</v>
      </c>
      <c r="BL16" s="321">
        <v>45645</v>
      </c>
      <c r="BM16" s="321">
        <v>45646</v>
      </c>
      <c r="BN16" s="321">
        <v>45649</v>
      </c>
      <c r="BO16" s="321">
        <v>45650</v>
      </c>
      <c r="BP16" s="321">
        <v>45651</v>
      </c>
      <c r="BQ16" s="321">
        <v>45652</v>
      </c>
      <c r="BR16" s="321">
        <v>45653</v>
      </c>
      <c r="BS16" s="321">
        <v>45656</v>
      </c>
      <c r="BT16" s="321">
        <v>45657</v>
      </c>
      <c r="BU16" s="321">
        <f t="shared" ref="BU16:CI16" si="5">WORKDAY(BT16,1)</f>
        <v>45658</v>
      </c>
      <c r="BV16" s="321">
        <f t="shared" si="5"/>
        <v>45659</v>
      </c>
      <c r="BW16" s="321">
        <f t="shared" si="5"/>
        <v>45660</v>
      </c>
      <c r="BX16" s="321">
        <f t="shared" si="5"/>
        <v>45663</v>
      </c>
      <c r="BY16" s="321">
        <f t="shared" si="5"/>
        <v>45664</v>
      </c>
      <c r="BZ16" s="321">
        <f t="shared" si="5"/>
        <v>45665</v>
      </c>
      <c r="CA16" s="321">
        <f t="shared" si="5"/>
        <v>45666</v>
      </c>
      <c r="CB16" s="321">
        <f t="shared" si="5"/>
        <v>45667</v>
      </c>
      <c r="CC16" s="321">
        <f t="shared" si="5"/>
        <v>45670</v>
      </c>
      <c r="CD16" s="321">
        <f t="shared" si="5"/>
        <v>45671</v>
      </c>
      <c r="CE16" s="321">
        <f t="shared" si="5"/>
        <v>45672</v>
      </c>
      <c r="CF16" s="321">
        <f t="shared" si="5"/>
        <v>45673</v>
      </c>
      <c r="CG16" s="321">
        <f t="shared" si="5"/>
        <v>45674</v>
      </c>
      <c r="CH16" s="321">
        <f t="shared" si="5"/>
        <v>45677</v>
      </c>
      <c r="CI16" s="321">
        <f t="shared" si="5"/>
        <v>45678</v>
      </c>
    </row>
    <row r="17" spans="1:87" ht="15" customHeight="1">
      <c r="A17" s="274"/>
      <c r="B17" s="142" t="s">
        <v>26</v>
      </c>
      <c r="C17" s="138" t="s">
        <v>26</v>
      </c>
      <c r="D17" s="134"/>
      <c r="E17" s="241" t="s">
        <v>380</v>
      </c>
      <c r="F17" s="239" t="s">
        <v>1972</v>
      </c>
      <c r="G17" s="240">
        <f>COUNTA(G18)</f>
        <v>1</v>
      </c>
      <c r="H17" s="295" t="s">
        <v>2005</v>
      </c>
      <c r="I17" s="278">
        <f>MAX(I18)</f>
        <v>45583</v>
      </c>
      <c r="J17" s="277">
        <f>MIN(J18)</f>
        <v>45589</v>
      </c>
      <c r="K17" s="277">
        <f>MIN(K18)</f>
        <v>45589</v>
      </c>
      <c r="L17" s="277">
        <f>MIN(L18)</f>
        <v>45593</v>
      </c>
      <c r="M17" s="278">
        <f>MAX(M18)</f>
        <v>45593</v>
      </c>
      <c r="N17" s="323">
        <f t="array" ref="N17">MAX(IF(W17:CI17&gt;0,$W$16:$CI$16))</f>
        <v>45593</v>
      </c>
      <c r="O17" s="322">
        <f>O18</f>
        <v>1</v>
      </c>
      <c r="P17" s="322">
        <f ca="1">P18</f>
        <v>1</v>
      </c>
      <c r="Q17" s="247">
        <f t="shared" ref="Q17:Q43" ca="1" si="6">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c r="A18" s="274" t="str">
        <f>E18&amp;G18</f>
        <v>lt002_instrumentlns_clltrlzd_clssfctn</v>
      </c>
      <c r="B18" s="142" t="s">
        <v>26</v>
      </c>
      <c r="C18" s="138" t="s">
        <v>26</v>
      </c>
      <c r="D18" s="235" t="s">
        <v>40</v>
      </c>
      <c r="E18" s="238" t="s">
        <v>380</v>
      </c>
      <c r="F18" s="238"/>
      <c r="G18" s="238" t="s">
        <v>385</v>
      </c>
      <c r="H18" s="235" t="str">
        <f>VLOOKUP(A18,'2. Status Detalhe Campos'!$A$7:$G$574,7,0)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ca="1">IF(TODAY()&lt;=L18,0,MIN((TODAY()-L18)/(M18-L18+1),100%))</f>
        <v>1</v>
      </c>
      <c r="Q18" s="247">
        <f t="shared" ca="1" si="6"/>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c r="A19" s="274"/>
      <c r="B19" s="142" t="s">
        <v>26</v>
      </c>
      <c r="C19" s="138" t="s">
        <v>311</v>
      </c>
      <c r="D19" s="134"/>
      <c r="E19" s="239" t="s">
        <v>312</v>
      </c>
      <c r="F19" s="239" t="s">
        <v>1996</v>
      </c>
      <c r="G19" s="240">
        <f>COUNTA(G20:G27)</f>
        <v>8</v>
      </c>
      <c r="H19" s="295" t="s">
        <v>2005</v>
      </c>
      <c r="I19" s="276" t="s">
        <v>38</v>
      </c>
      <c r="J19" s="277">
        <f>MIN(J20:J27)</f>
        <v>45600</v>
      </c>
      <c r="K19" s="278">
        <f>MIN(K20:K27)</f>
        <v>45601</v>
      </c>
      <c r="L19" s="277">
        <f>MIN(L20:L27)</f>
        <v>45602</v>
      </c>
      <c r="M19" s="278">
        <f>MAX(M20:M27)</f>
        <v>45608</v>
      </c>
      <c r="N19" s="323">
        <f t="array" ref="N19">MAX(IF(W19:CI19&gt;0,$W$16:$CI$16))</f>
        <v>45611</v>
      </c>
      <c r="O19" s="322">
        <f>SUMPRODUCT(O20:O27,U20:U27)/SUM(U20:U27)</f>
        <v>1</v>
      </c>
      <c r="P19" s="322">
        <f ca="1">SUMPRODUCT(P20:P27,U20:U27)/SUM(U20:U27)</f>
        <v>1</v>
      </c>
      <c r="Q19" s="247">
        <f t="shared" ca="1" si="6"/>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c r="A20" s="274" t="str">
        <f t="shared" ref="A20:A27" si="7">E20&amp;G20</f>
        <v>modesg_out_bens_imoveisorigem_scp1_emss</v>
      </c>
      <c r="B20" s="142" t="s">
        <v>26</v>
      </c>
      <c r="C20" s="138" t="s">
        <v>311</v>
      </c>
      <c r="D20" s="235" t="s">
        <v>40</v>
      </c>
      <c r="E20" s="236" t="s">
        <v>312</v>
      </c>
      <c r="F20" s="236"/>
      <c r="G20" s="235" t="s">
        <v>320</v>
      </c>
      <c r="H20" s="235" t="str">
        <f>VLOOKUP(A20,'2. Status Detalhe Campos'!$A$7:$G$574,7,0)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8">IF(TODAY()&lt;=L20,0,MIN((TODAY()-L20)/(M20-L20+1),100%))</f>
        <v>1</v>
      </c>
      <c r="Q20" s="247">
        <f t="shared" ca="1" si="6"/>
        <v>0</v>
      </c>
      <c r="R20" s="261"/>
      <c r="S20" s="280" t="s">
        <v>1945</v>
      </c>
      <c r="T20" s="270">
        <v>4.0999999999999996</v>
      </c>
      <c r="U20" s="270">
        <f t="shared" ref="U20:U27" si="9">ROUND(T20/8,1)</f>
        <v>0.5</v>
      </c>
      <c r="V20" s="270">
        <f t="shared" ref="V20:V27" si="10">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c r="A21" s="274" t="str">
        <f t="shared" si="7"/>
        <v>modesg_out_bens_imoveisorigem_scp2_emss</v>
      </c>
      <c r="B21" s="142" t="s">
        <v>26</v>
      </c>
      <c r="C21" s="138" t="s">
        <v>311</v>
      </c>
      <c r="D21" s="235" t="s">
        <v>40</v>
      </c>
      <c r="E21" s="236" t="s">
        <v>312</v>
      </c>
      <c r="F21" s="236"/>
      <c r="G21" s="235" t="s">
        <v>321</v>
      </c>
      <c r="H21" s="235" t="str">
        <f>VLOOKUP(A21,'2. Status Detalhe Campos'!$A$7:$G$574,7,0)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8"/>
        <v>1</v>
      </c>
      <c r="Q21" s="247">
        <f t="shared" ca="1" si="6"/>
        <v>0</v>
      </c>
      <c r="R21" s="261"/>
      <c r="S21" s="280" t="s">
        <v>1945</v>
      </c>
      <c r="T21" s="270">
        <v>4.0999999999999996</v>
      </c>
      <c r="U21" s="270">
        <f t="shared" si="9"/>
        <v>0.5</v>
      </c>
      <c r="V21" s="270">
        <f t="shared" si="10"/>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c r="A22" s="274" t="str">
        <f t="shared" si="7"/>
        <v>modesg_out_bens_imoveisorigem_scp3_emss</v>
      </c>
      <c r="B22" s="142" t="s">
        <v>26</v>
      </c>
      <c r="C22" s="138" t="s">
        <v>311</v>
      </c>
      <c r="D22" s="235" t="s">
        <v>40</v>
      </c>
      <c r="E22" s="236" t="s">
        <v>312</v>
      </c>
      <c r="F22" s="236"/>
      <c r="G22" s="235" t="s">
        <v>322</v>
      </c>
      <c r="H22" s="235" t="str">
        <f>VLOOKUP(A22,'2. Status Detalhe Campos'!$A$7:$G$574,7,0)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8"/>
        <v>1</v>
      </c>
      <c r="Q22" s="247">
        <f t="shared" ca="1" si="6"/>
        <v>0</v>
      </c>
      <c r="R22" s="261"/>
      <c r="S22" s="280" t="s">
        <v>1945</v>
      </c>
      <c r="T22" s="270">
        <v>4.0999999999999996</v>
      </c>
      <c r="U22" s="270">
        <f t="shared" si="9"/>
        <v>0.5</v>
      </c>
      <c r="V22" s="270">
        <f t="shared" si="10"/>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c r="A23" s="274" t="str">
        <f t="shared" si="7"/>
        <v>modesg_out_bens_imoveisscp1_emss</v>
      </c>
      <c r="B23" s="142" t="s">
        <v>26</v>
      </c>
      <c r="C23" s="138" t="s">
        <v>311</v>
      </c>
      <c r="D23" s="235" t="s">
        <v>40</v>
      </c>
      <c r="E23" s="236" t="s">
        <v>312</v>
      </c>
      <c r="F23" s="236"/>
      <c r="G23" s="235" t="s">
        <v>286</v>
      </c>
      <c r="H23" s="235" t="str">
        <f>VLOOKUP(A23,'2. Status Detalhe Campos'!$A$7:$G$574,7,0)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8"/>
        <v>1</v>
      </c>
      <c r="Q23" s="247">
        <f t="shared" ca="1" si="6"/>
        <v>0</v>
      </c>
      <c r="R23" s="261"/>
      <c r="S23" s="280" t="s">
        <v>1945</v>
      </c>
      <c r="T23" s="270">
        <v>8.1</v>
      </c>
      <c r="U23" s="270">
        <f t="shared" si="9"/>
        <v>1</v>
      </c>
      <c r="V23" s="270">
        <f t="shared" si="10"/>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c r="A24" s="274" t="str">
        <f t="shared" si="7"/>
        <v>modesg_out_bens_imoveisscp2_emss</v>
      </c>
      <c r="B24" s="142" t="s">
        <v>26</v>
      </c>
      <c r="C24" s="138" t="s">
        <v>311</v>
      </c>
      <c r="D24" s="235" t="s">
        <v>40</v>
      </c>
      <c r="E24" s="236" t="s">
        <v>312</v>
      </c>
      <c r="F24" s="236"/>
      <c r="G24" s="235" t="s">
        <v>287</v>
      </c>
      <c r="H24" s="235" t="str">
        <f>VLOOKUP(A24,'2. Status Detalhe Campos'!$A$7:$G$574,7,0)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8"/>
        <v>1</v>
      </c>
      <c r="Q24" s="247">
        <f t="shared" ca="1" si="6"/>
        <v>0</v>
      </c>
      <c r="R24" s="261"/>
      <c r="S24" s="280" t="s">
        <v>1945</v>
      </c>
      <c r="T24" s="270">
        <v>8.1</v>
      </c>
      <c r="U24" s="270">
        <f t="shared" si="9"/>
        <v>1</v>
      </c>
      <c r="V24" s="270">
        <f t="shared" si="10"/>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c r="A25" s="274" t="str">
        <f t="shared" si="7"/>
        <v>modesg_out_bens_imoveisunidade_funcional_scp1_emss</v>
      </c>
      <c r="B25" s="142" t="s">
        <v>26</v>
      </c>
      <c r="C25" s="138" t="s">
        <v>311</v>
      </c>
      <c r="D25" s="235" t="s">
        <v>40</v>
      </c>
      <c r="E25" s="236" t="s">
        <v>312</v>
      </c>
      <c r="F25" s="236"/>
      <c r="G25" s="235" t="s">
        <v>323</v>
      </c>
      <c r="H25" s="235" t="str">
        <f>VLOOKUP(A25,'2. Status Detalhe Campos'!$A$7:$G$574,7,0)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8"/>
        <v>1</v>
      </c>
      <c r="Q25" s="247">
        <f t="shared" ca="1" si="6"/>
        <v>0</v>
      </c>
      <c r="R25" s="261"/>
      <c r="S25" s="280" t="s">
        <v>1945</v>
      </c>
      <c r="T25" s="270">
        <v>4.0999999999999996</v>
      </c>
      <c r="U25" s="270">
        <f t="shared" si="9"/>
        <v>0.5</v>
      </c>
      <c r="V25" s="270">
        <f t="shared" si="10"/>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c r="A26" s="274" t="str">
        <f t="shared" si="7"/>
        <v>modesg_out_bens_imoveisunidade_funcional_scp2_emss</v>
      </c>
      <c r="B26" s="142" t="s">
        <v>26</v>
      </c>
      <c r="C26" s="138" t="s">
        <v>311</v>
      </c>
      <c r="D26" s="235" t="s">
        <v>40</v>
      </c>
      <c r="E26" s="236" t="s">
        <v>312</v>
      </c>
      <c r="F26" s="236"/>
      <c r="G26" s="235" t="s">
        <v>324</v>
      </c>
      <c r="H26" s="235" t="str">
        <f>VLOOKUP(A26,'2. Status Detalhe Campos'!$A$7:$G$574,7,0)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8"/>
        <v>1</v>
      </c>
      <c r="Q26" s="247">
        <f t="shared" ca="1" si="6"/>
        <v>0</v>
      </c>
      <c r="R26" s="261"/>
      <c r="S26" s="280" t="s">
        <v>1945</v>
      </c>
      <c r="T26" s="270">
        <v>4.0999999999999996</v>
      </c>
      <c r="U26" s="270">
        <f t="shared" si="9"/>
        <v>0.5</v>
      </c>
      <c r="V26" s="270">
        <f t="shared" si="10"/>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c r="A27" s="274" t="str">
        <f t="shared" si="7"/>
        <v>modesg_out_bens_imoveisunidade_funcional_scp3_emss</v>
      </c>
      <c r="B27" s="142" t="s">
        <v>26</v>
      </c>
      <c r="C27" s="138" t="s">
        <v>311</v>
      </c>
      <c r="D27" s="235" t="s">
        <v>40</v>
      </c>
      <c r="E27" s="236" t="s">
        <v>312</v>
      </c>
      <c r="F27" s="236"/>
      <c r="G27" s="235" t="s">
        <v>325</v>
      </c>
      <c r="H27" s="235" t="str">
        <f>VLOOKUP(A27,'2. Status Detalhe Campos'!$A$7:$G$574,7,0)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8"/>
        <v>1</v>
      </c>
      <c r="Q27" s="247">
        <f t="shared" ca="1" si="6"/>
        <v>0</v>
      </c>
      <c r="R27" s="261"/>
      <c r="S27" s="280" t="s">
        <v>1945</v>
      </c>
      <c r="T27" s="270">
        <v>4.0999999999999996</v>
      </c>
      <c r="U27" s="270">
        <f t="shared" si="9"/>
        <v>0.5</v>
      </c>
      <c r="V27" s="270">
        <f t="shared" si="10"/>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c r="A28" s="274"/>
      <c r="B28" s="142" t="s">
        <v>26</v>
      </c>
      <c r="C28" s="138" t="s">
        <v>181</v>
      </c>
      <c r="D28" s="134"/>
      <c r="E28" s="239" t="s">
        <v>182</v>
      </c>
      <c r="F28" s="239" t="s">
        <v>1972</v>
      </c>
      <c r="G28" s="240">
        <f>COUNTA(G29:G43)</f>
        <v>15</v>
      </c>
      <c r="H28" s="295" t="s">
        <v>2005</v>
      </c>
      <c r="I28" s="276" t="s">
        <v>38</v>
      </c>
      <c r="J28" s="277">
        <f>MIN(J29:J43)</f>
        <v>45603</v>
      </c>
      <c r="K28" s="277">
        <f>MIN(K29:K43)</f>
        <v>45604</v>
      </c>
      <c r="L28" s="277">
        <f>MIN(L29:L43)</f>
        <v>45609</v>
      </c>
      <c r="M28" s="277">
        <f>MIN(M29:M43)</f>
        <v>45609</v>
      </c>
      <c r="N28" s="323">
        <f t="array" ref="N28">MAX(IF(W28:CI28&gt;0,$W$16:$CI$16))</f>
        <v>45611</v>
      </c>
      <c r="O28" s="322">
        <f>SUMPRODUCT(O29:O43,U29:U43)/SUM(U29:U43)</f>
        <v>1</v>
      </c>
      <c r="P28" s="322">
        <f ca="1">SUMPRODUCT(P29:P43,U29:U43)/SUM(U29:U43)</f>
        <v>1</v>
      </c>
      <c r="Q28" s="247">
        <f t="shared" ca="1" si="6"/>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c r="A29" s="274" t="str">
        <f t="shared" ref="A29:A43" si="11">E29&amp;G29</f>
        <v>modesg_param_sfcs_taxon_europeiacod_regra</v>
      </c>
      <c r="B29" s="142" t="s">
        <v>26</v>
      </c>
      <c r="C29" s="138" t="s">
        <v>181</v>
      </c>
      <c r="D29" s="235" t="s">
        <v>40</v>
      </c>
      <c r="E29" s="236" t="s">
        <v>182</v>
      </c>
      <c r="F29" s="236"/>
      <c r="G29" s="235" t="s">
        <v>191</v>
      </c>
      <c r="H29" s="235" t="str">
        <f>VLOOKUP(A29,'2. Status Detalhe Campos'!$A$7:$G$574,7,0)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2">IF(TODAY()&lt;=L29,0,MIN((TODAY()-L29)/(M29-L29+1),100%))</f>
        <v>1</v>
      </c>
      <c r="Q29" s="247">
        <f t="shared" ca="1" si="6"/>
        <v>0</v>
      </c>
      <c r="R29" s="262" t="s">
        <v>38</v>
      </c>
      <c r="S29" s="280"/>
      <c r="T29" s="270">
        <v>0.6</v>
      </c>
      <c r="U29" s="270">
        <f t="shared" ref="U29:U43" si="13">ROUND(T29/8,1)</f>
        <v>0.1</v>
      </c>
      <c r="V29" s="270">
        <f t="shared" ref="V29:V43" si="14">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c r="A30" s="274" t="str">
        <f t="shared" si="11"/>
        <v>modesg_param_sfcs_taxon_europeiacomite</v>
      </c>
      <c r="B30" s="142" t="s">
        <v>26</v>
      </c>
      <c r="C30" s="138" t="s">
        <v>181</v>
      </c>
      <c r="D30" s="235" t="s">
        <v>40</v>
      </c>
      <c r="E30" s="236" t="s">
        <v>182</v>
      </c>
      <c r="F30" s="236"/>
      <c r="G30" s="235" t="s">
        <v>192</v>
      </c>
      <c r="H30" s="235" t="str">
        <f>VLOOKUP(A30,'2. Status Detalhe Campos'!$A$7:$G$574,7,0)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2"/>
        <v>1</v>
      </c>
      <c r="Q30" s="247">
        <f t="shared" ca="1" si="6"/>
        <v>0</v>
      </c>
      <c r="R30" s="262" t="s">
        <v>38</v>
      </c>
      <c r="S30" s="280"/>
      <c r="T30" s="270">
        <v>0.6</v>
      </c>
      <c r="U30" s="270">
        <f t="shared" si="13"/>
        <v>0.1</v>
      </c>
      <c r="V30" s="270">
        <f t="shared" si="14"/>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c r="A31" s="274" t="str">
        <f t="shared" si="11"/>
        <v>modesg_param_sfcs_taxon_europeiadata_aprvc</v>
      </c>
      <c r="B31" s="142" t="s">
        <v>26</v>
      </c>
      <c r="C31" s="138" t="s">
        <v>181</v>
      </c>
      <c r="D31" s="235" t="s">
        <v>40</v>
      </c>
      <c r="E31" s="236" t="s">
        <v>182</v>
      </c>
      <c r="F31" s="236"/>
      <c r="G31" s="235" t="s">
        <v>193</v>
      </c>
      <c r="H31" s="235" t="str">
        <f>VLOOKUP(A31,'2. Status Detalhe Campos'!$A$7:$G$574,7,0)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2"/>
        <v>1</v>
      </c>
      <c r="Q31" s="247">
        <f t="shared" ca="1" si="6"/>
        <v>0</v>
      </c>
      <c r="R31" s="262" t="s">
        <v>38</v>
      </c>
      <c r="S31" s="280"/>
      <c r="T31" s="270">
        <v>0.6</v>
      </c>
      <c r="U31" s="270">
        <f t="shared" si="13"/>
        <v>0.1</v>
      </c>
      <c r="V31" s="270">
        <f t="shared" si="14"/>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c r="A32" s="274" t="str">
        <f t="shared" si="11"/>
        <v>modesg_param_sfcs_taxon_europeiadata_final</v>
      </c>
      <c r="B32" s="142" t="s">
        <v>26</v>
      </c>
      <c r="C32" s="138" t="s">
        <v>181</v>
      </c>
      <c r="D32" s="235" t="s">
        <v>40</v>
      </c>
      <c r="E32" s="236" t="s">
        <v>182</v>
      </c>
      <c r="F32" s="236"/>
      <c r="G32" s="235" t="s">
        <v>194</v>
      </c>
      <c r="H32" s="235" t="str">
        <f>VLOOKUP(A32,'2. Status Detalhe Campos'!$A$7:$G$574,7,0)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2"/>
        <v>1</v>
      </c>
      <c r="Q32" s="247">
        <f t="shared" ca="1" si="6"/>
        <v>0</v>
      </c>
      <c r="R32" s="262" t="s">
        <v>38</v>
      </c>
      <c r="S32" s="280"/>
      <c r="T32" s="270">
        <v>0.6</v>
      </c>
      <c r="U32" s="270">
        <f t="shared" si="13"/>
        <v>0.1</v>
      </c>
      <c r="V32" s="270">
        <f t="shared" si="14"/>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c r="A33" s="274" t="str">
        <f t="shared" si="11"/>
        <v>modesg_param_sfcs_taxon_europeiadata_inicial</v>
      </c>
      <c r="B33" s="142" t="s">
        <v>26</v>
      </c>
      <c r="C33" s="138" t="s">
        <v>181</v>
      </c>
      <c r="D33" s="235" t="s">
        <v>40</v>
      </c>
      <c r="E33" s="236" t="s">
        <v>182</v>
      </c>
      <c r="F33" s="236"/>
      <c r="G33" s="235" t="s">
        <v>195</v>
      </c>
      <c r="H33" s="235" t="str">
        <f>VLOOKUP(A33,'2. Status Detalhe Campos'!$A$7:$G$574,7,0)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2"/>
        <v>1</v>
      </c>
      <c r="Q33" s="247">
        <f t="shared" ca="1" si="6"/>
        <v>0</v>
      </c>
      <c r="R33" s="262" t="s">
        <v>38</v>
      </c>
      <c r="S33" s="280"/>
      <c r="T33" s="270">
        <v>0.6</v>
      </c>
      <c r="U33" s="270">
        <f t="shared" si="13"/>
        <v>0.1</v>
      </c>
      <c r="V33" s="270">
        <f t="shared" si="14"/>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c r="A34" s="274" t="str">
        <f t="shared" si="11"/>
        <v>modesg_param_sfcs_taxon_europeiaflag_project_finance</v>
      </c>
      <c r="B34" s="142" t="s">
        <v>26</v>
      </c>
      <c r="C34" s="138" t="s">
        <v>181</v>
      </c>
      <c r="D34" s="235" t="s">
        <v>40</v>
      </c>
      <c r="E34" s="236" t="s">
        <v>182</v>
      </c>
      <c r="F34" s="236"/>
      <c r="G34" s="235" t="s">
        <v>199</v>
      </c>
      <c r="H34" s="235" t="str">
        <f>VLOOKUP(A34,'2. Status Detalhe Campos'!$A$7:$G$574,7,0)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2"/>
        <v>1</v>
      </c>
      <c r="Q34" s="247">
        <f t="shared" ca="1" si="6"/>
        <v>0</v>
      </c>
      <c r="R34" s="262" t="s">
        <v>38</v>
      </c>
      <c r="S34" s="280"/>
      <c r="T34" s="270">
        <v>0.6</v>
      </c>
      <c r="U34" s="270">
        <f t="shared" si="13"/>
        <v>0.1</v>
      </c>
      <c r="V34" s="270">
        <f t="shared" si="14"/>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c r="A35" s="274" t="str">
        <f t="shared" si="11"/>
        <v>modesg_param_sfcs_taxon_europeiacfinalidad</v>
      </c>
      <c r="B35" s="142" t="s">
        <v>26</v>
      </c>
      <c r="C35" s="138" t="s">
        <v>181</v>
      </c>
      <c r="D35" s="235" t="s">
        <v>40</v>
      </c>
      <c r="E35" s="236" t="s">
        <v>182</v>
      </c>
      <c r="F35" s="236"/>
      <c r="G35" s="235" t="s">
        <v>200</v>
      </c>
      <c r="H35" s="235" t="str">
        <f>VLOOKUP(A35,'2. Status Detalhe Campos'!$A$7:$G$574,7,0)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2"/>
        <v>1</v>
      </c>
      <c r="Q35" s="247">
        <f t="shared" ca="1" si="6"/>
        <v>0</v>
      </c>
      <c r="R35" s="262" t="s">
        <v>38</v>
      </c>
      <c r="S35" s="280"/>
      <c r="T35" s="270">
        <v>0.6</v>
      </c>
      <c r="U35" s="270">
        <f t="shared" si="13"/>
        <v>0.1</v>
      </c>
      <c r="V35" s="270">
        <f t="shared" si="14"/>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c r="A36" s="274" t="str">
        <f t="shared" si="11"/>
        <v>modesg_param_sfcs_taxon_europeiatipo_combust</v>
      </c>
      <c r="B36" s="142" t="s">
        <v>26</v>
      </c>
      <c r="C36" s="138" t="s">
        <v>181</v>
      </c>
      <c r="D36" s="235" t="s">
        <v>40</v>
      </c>
      <c r="E36" s="236" t="s">
        <v>182</v>
      </c>
      <c r="F36" s="236"/>
      <c r="G36" s="235" t="s">
        <v>201</v>
      </c>
      <c r="H36" s="235" t="str">
        <f>VLOOKUP(A36,'2. Status Detalhe Campos'!$A$7:$G$574,7,0)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2"/>
        <v>1</v>
      </c>
      <c r="Q36" s="247">
        <f t="shared" ca="1" si="6"/>
        <v>0</v>
      </c>
      <c r="R36" s="262" t="s">
        <v>38</v>
      </c>
      <c r="S36" s="280"/>
      <c r="T36" s="270">
        <v>0.6</v>
      </c>
      <c r="U36" s="270">
        <f t="shared" si="13"/>
        <v>0.1</v>
      </c>
      <c r="V36" s="270">
        <f t="shared" si="14"/>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c r="A37" s="274" t="str">
        <f t="shared" si="11"/>
        <v>modesg_param_sfcs_taxon_europeiamontante_pndrc</v>
      </c>
      <c r="B37" s="142" t="s">
        <v>26</v>
      </c>
      <c r="C37" s="138" t="s">
        <v>181</v>
      </c>
      <c r="D37" s="235" t="s">
        <v>40</v>
      </c>
      <c r="E37" s="236" t="s">
        <v>182</v>
      </c>
      <c r="F37" s="236"/>
      <c r="G37" s="235" t="s">
        <v>202</v>
      </c>
      <c r="H37" s="235" t="str">
        <f>VLOOKUP(A37,'2. Status Detalhe Campos'!$A$7:$G$574,7,0)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2"/>
        <v>1</v>
      </c>
      <c r="Q37" s="247">
        <f t="shared" ca="1" si="6"/>
        <v>0</v>
      </c>
      <c r="R37" s="262" t="s">
        <v>38</v>
      </c>
      <c r="S37" s="280"/>
      <c r="T37" s="270">
        <v>0.6</v>
      </c>
      <c r="U37" s="270">
        <f t="shared" si="13"/>
        <v>0.1</v>
      </c>
      <c r="V37" s="270">
        <f t="shared" si="14"/>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c r="A38" s="274" t="str">
        <f t="shared" si="11"/>
        <v>modesg_param_sfcs_taxon_europeianome_general_specific_purpose</v>
      </c>
      <c r="B38" s="142" t="s">
        <v>26</v>
      </c>
      <c r="C38" s="138" t="s">
        <v>181</v>
      </c>
      <c r="D38" s="235" t="s">
        <v>40</v>
      </c>
      <c r="E38" s="236" t="s">
        <v>182</v>
      </c>
      <c r="F38" s="236"/>
      <c r="G38" s="235" t="s">
        <v>204</v>
      </c>
      <c r="H38" s="235" t="str">
        <f>VLOOKUP(A38,'2. Status Detalhe Campos'!$A$7:$G$574,7,0)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2"/>
        <v>1</v>
      </c>
      <c r="Q38" s="247">
        <f t="shared" ca="1" si="6"/>
        <v>0</v>
      </c>
      <c r="R38" s="262" t="s">
        <v>38</v>
      </c>
      <c r="S38" s="280"/>
      <c r="T38" s="270">
        <v>0.6</v>
      </c>
      <c r="U38" s="270">
        <f t="shared" si="13"/>
        <v>0.1</v>
      </c>
      <c r="V38" s="270">
        <f t="shared" si="14"/>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c r="A39" s="274" t="str">
        <f t="shared" si="11"/>
        <v>modesg_param_sfcs_taxon_europeianome_purpose_esg</v>
      </c>
      <c r="B39" s="142" t="s">
        <v>26</v>
      </c>
      <c r="C39" s="138" t="s">
        <v>181</v>
      </c>
      <c r="D39" s="235" t="s">
        <v>40</v>
      </c>
      <c r="E39" s="236" t="s">
        <v>182</v>
      </c>
      <c r="F39" s="236"/>
      <c r="G39" s="235" t="s">
        <v>205</v>
      </c>
      <c r="H39" s="235" t="str">
        <f>VLOOKUP(A39,'2. Status Detalhe Campos'!$A$7:$G$574,7,0)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2"/>
        <v>1</v>
      </c>
      <c r="Q39" s="247">
        <f t="shared" ca="1" si="6"/>
        <v>0</v>
      </c>
      <c r="R39" s="262" t="s">
        <v>38</v>
      </c>
      <c r="S39" s="280"/>
      <c r="T39" s="270">
        <v>0.6</v>
      </c>
      <c r="U39" s="270">
        <f t="shared" si="13"/>
        <v>0.1</v>
      </c>
      <c r="V39" s="270">
        <f t="shared" si="14"/>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c r="A40" s="274" t="str">
        <f t="shared" si="11"/>
        <v>modesg_param_sfcs_taxon_europeianome_specific_eligible</v>
      </c>
      <c r="B40" s="142" t="s">
        <v>26</v>
      </c>
      <c r="C40" s="138" t="s">
        <v>181</v>
      </c>
      <c r="D40" s="235" t="s">
        <v>40</v>
      </c>
      <c r="E40" s="236" t="s">
        <v>182</v>
      </c>
      <c r="F40" s="236"/>
      <c r="G40" s="235" t="s">
        <v>206</v>
      </c>
      <c r="H40" s="235" t="str">
        <f>VLOOKUP(A40,'2. Status Detalhe Campos'!$A$7:$G$574,7,0)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2"/>
        <v>1</v>
      </c>
      <c r="Q40" s="247">
        <f t="shared" ca="1" si="6"/>
        <v>0</v>
      </c>
      <c r="R40" s="262" t="s">
        <v>38</v>
      </c>
      <c r="S40" s="280"/>
      <c r="T40" s="270">
        <v>0.6</v>
      </c>
      <c r="U40" s="270">
        <f t="shared" si="13"/>
        <v>0.1</v>
      </c>
      <c r="V40" s="270">
        <f t="shared" si="14"/>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c r="A41" s="274" t="str">
        <f t="shared" si="11"/>
        <v>modesg_param_sfcs_taxon_europeianome_specific_sustainable</v>
      </c>
      <c r="B41" s="142" t="s">
        <v>26</v>
      </c>
      <c r="C41" s="138" t="s">
        <v>181</v>
      </c>
      <c r="D41" s="235" t="s">
        <v>40</v>
      </c>
      <c r="E41" s="236" t="s">
        <v>182</v>
      </c>
      <c r="F41" s="236"/>
      <c r="G41" s="235" t="s">
        <v>207</v>
      </c>
      <c r="H41" s="235" t="str">
        <f>VLOOKUP(A41,'2. Status Detalhe Campos'!$A$7:$G$574,7,0)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2"/>
        <v>1</v>
      </c>
      <c r="Q41" s="247">
        <f t="shared" ca="1" si="6"/>
        <v>0</v>
      </c>
      <c r="R41" s="262" t="s">
        <v>38</v>
      </c>
      <c r="S41" s="280"/>
      <c r="T41" s="270">
        <v>0.6</v>
      </c>
      <c r="U41" s="270">
        <f t="shared" si="13"/>
        <v>0.1</v>
      </c>
      <c r="V41" s="270">
        <f t="shared" si="14"/>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c r="A42" s="274" t="str">
        <f t="shared" si="11"/>
        <v>modesg_param_sfcs_taxon_europeiazcliente</v>
      </c>
      <c r="B42" s="142" t="s">
        <v>26</v>
      </c>
      <c r="C42" s="138" t="s">
        <v>181</v>
      </c>
      <c r="D42" s="235" t="s">
        <v>40</v>
      </c>
      <c r="E42" s="236" t="s">
        <v>182</v>
      </c>
      <c r="F42" s="236"/>
      <c r="G42" s="235" t="s">
        <v>209</v>
      </c>
      <c r="H42" s="235" t="str">
        <f>VLOOKUP(A42,'2. Status Detalhe Campos'!$A$7:$G$574,7,0)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2"/>
        <v>1</v>
      </c>
      <c r="Q42" s="247">
        <f t="shared" ca="1" si="6"/>
        <v>0</v>
      </c>
      <c r="R42" s="262" t="s">
        <v>38</v>
      </c>
      <c r="S42" s="280"/>
      <c r="T42" s="270">
        <v>0.6</v>
      </c>
      <c r="U42" s="270">
        <f t="shared" si="13"/>
        <v>0.1</v>
      </c>
      <c r="V42" s="270">
        <f t="shared" si="14"/>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c r="A43" s="274" t="str">
        <f t="shared" si="11"/>
        <v>modesg_param_sfcs_taxon_europeiazdeposit</v>
      </c>
      <c r="B43" s="142" t="s">
        <v>26</v>
      </c>
      <c r="C43" s="138" t="s">
        <v>181</v>
      </c>
      <c r="D43" s="235" t="s">
        <v>40</v>
      </c>
      <c r="E43" s="236" t="s">
        <v>182</v>
      </c>
      <c r="F43" s="236"/>
      <c r="G43" s="235" t="s">
        <v>210</v>
      </c>
      <c r="H43" s="235" t="str">
        <f>VLOOKUP(A43,'2. Status Detalhe Campos'!$A$7:$G$574,7,0)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2"/>
        <v>1</v>
      </c>
      <c r="Q43" s="247">
        <f t="shared" ca="1" si="6"/>
        <v>0</v>
      </c>
      <c r="R43" s="262" t="s">
        <v>38</v>
      </c>
      <c r="S43" s="280"/>
      <c r="T43" s="270">
        <v>0.6</v>
      </c>
      <c r="U43" s="270">
        <f t="shared" si="13"/>
        <v>0.1</v>
      </c>
      <c r="V43" s="270">
        <f t="shared" si="14"/>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c r="A44" s="274"/>
      <c r="B44" s="142" t="s">
        <v>26</v>
      </c>
      <c r="C44" s="138" t="s">
        <v>181</v>
      </c>
      <c r="D44" s="134"/>
      <c r="E44" s="239" t="s">
        <v>182</v>
      </c>
      <c r="F44" s="239" t="s">
        <v>2065</v>
      </c>
      <c r="G44" s="240">
        <f>COUNTA(G45:G45)</f>
        <v>1</v>
      </c>
      <c r="H44" s="294" t="s">
        <v>2059</v>
      </c>
      <c r="I44" s="276" t="s">
        <v>38</v>
      </c>
      <c r="J44" s="277">
        <f>MIN(J45)</f>
        <v>45603</v>
      </c>
      <c r="K44" s="277">
        <f>MIN(K45)</f>
        <v>45604</v>
      </c>
      <c r="L44" s="277">
        <f>MIN(L45:L222)</f>
        <v>45600</v>
      </c>
      <c r="M44" s="277">
        <f>MIN(M45:M222)</f>
        <v>45600</v>
      </c>
      <c r="N44" s="323">
        <f t="array" ref="N44">MAX(IF(W44:CI44&gt;0,$W$16:$CI$16))</f>
        <v>45611</v>
      </c>
      <c r="O44" s="314">
        <f>SUMPRODUCT(O45,U45)/SUM(U45)</f>
        <v>0.25</v>
      </c>
      <c r="P44" s="314">
        <f ca="1">SUMPRODUCT(P45,U45)/SUM(U45)</f>
        <v>1</v>
      </c>
      <c r="Q44" s="247">
        <f t="shared" ref="Q44:Q49" ca="1" si="15">O44-P44</f>
        <v>-0.75</v>
      </c>
      <c r="R44" s="262" t="s">
        <v>2060</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c r="A45" s="274" t="str">
        <f>E45&amp;G45</f>
        <v>modesg_param_sfcs_taxon_europeianome_ctgr_sfcs</v>
      </c>
      <c r="B45" s="142" t="s">
        <v>26</v>
      </c>
      <c r="C45" s="138" t="s">
        <v>181</v>
      </c>
      <c r="D45" s="235" t="s">
        <v>40</v>
      </c>
      <c r="E45" s="236" t="s">
        <v>182</v>
      </c>
      <c r="F45" s="236"/>
      <c r="G45" s="235" t="s">
        <v>203</v>
      </c>
      <c r="H45" s="235" t="str">
        <f>VLOOKUP(A45,'2. Status Detalhe Campos'!$A$7:$G$574,7,0)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t="shared" ca="1" si="15"/>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ollapsed="1">
      <c r="A46" s="274"/>
      <c r="B46" s="142" t="s">
        <v>26</v>
      </c>
      <c r="C46" s="138" t="s">
        <v>311</v>
      </c>
      <c r="D46" s="134"/>
      <c r="E46" s="239" t="s">
        <v>332</v>
      </c>
      <c r="F46" s="239" t="s">
        <v>1972</v>
      </c>
      <c r="G46" s="240">
        <f>COUNTA(G47:G49)</f>
        <v>3</v>
      </c>
      <c r="H46" s="295" t="s">
        <v>2005</v>
      </c>
      <c r="I46" s="276" t="s">
        <v>38</v>
      </c>
      <c r="J46" s="277">
        <f>MIN(J47:J49)</f>
        <v>45607</v>
      </c>
      <c r="K46" s="277">
        <f>MIN(K47:K49)</f>
        <v>45608</v>
      </c>
      <c r="L46" s="277">
        <f>MIN(L47:L49)</f>
        <v>45609</v>
      </c>
      <c r="M46" s="278">
        <f>MAX(M47:M49)</f>
        <v>45618</v>
      </c>
      <c r="N46" s="323">
        <f t="array" ref="N46">MAX(IF(W46:CI46&gt;0,$W$16:$CI$16))</f>
        <v>45618</v>
      </c>
      <c r="O46" s="322">
        <f>SUMPRODUCT(O47:O49,U47:U49)/SUM(U47:U49)</f>
        <v>1</v>
      </c>
      <c r="P46" s="322">
        <f ca="1">SUMPRODUCT(P47:P49,U47:U49)/SUM(U47:U49)</f>
        <v>1</v>
      </c>
      <c r="Q46" s="313">
        <f t="shared" ca="1" si="15"/>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c r="A47" s="274" t="str">
        <f>E47&amp;G47</f>
        <v>modesg_out_emss_vclscnsm_co2</v>
      </c>
      <c r="B47" s="142" t="s">
        <v>26</v>
      </c>
      <c r="C47" s="138" t="s">
        <v>311</v>
      </c>
      <c r="D47" s="235" t="s">
        <v>40</v>
      </c>
      <c r="E47" s="236" t="s">
        <v>332</v>
      </c>
      <c r="F47" s="236"/>
      <c r="G47" s="235" t="s">
        <v>188</v>
      </c>
      <c r="H47" s="235" t="str">
        <f>VLOOKUP(A47,'2. Status Detalhe Campos'!$A$7:$G$574,7,0)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ca="1">IF(TODAY()&lt;=L47,0,MIN((TODAY()-L47)/(M47-L47+1),100%))</f>
        <v>1</v>
      </c>
      <c r="Q47" s="247">
        <f t="shared" ca="1" si="15"/>
        <v>0</v>
      </c>
      <c r="R47" s="262" t="s">
        <v>38</v>
      </c>
      <c r="S47" s="280" t="s">
        <v>1945</v>
      </c>
      <c r="T47" s="270">
        <v>8.1</v>
      </c>
      <c r="U47" s="270">
        <f>ROUND(T47/8,1)</f>
        <v>1</v>
      </c>
      <c r="V47" s="270">
        <f>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c r="A48" s="274" t="str">
        <f>E48&amp;G48</f>
        <v>modesg_out_emss_vclsorigem_scp3_emss</v>
      </c>
      <c r="B48" s="142" t="s">
        <v>26</v>
      </c>
      <c r="C48" s="138" t="s">
        <v>311</v>
      </c>
      <c r="D48" s="235" t="s">
        <v>40</v>
      </c>
      <c r="E48" s="236" t="s">
        <v>332</v>
      </c>
      <c r="F48" s="236"/>
      <c r="G48" s="235" t="s">
        <v>322</v>
      </c>
      <c r="H48" s="235" t="str">
        <f>VLOOKUP(A48,'2. Status Detalhe Campos'!$A$7:$G$574,7,0)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ca="1">IF(TODAY()&lt;=L48,0,MIN((TODAY()-L48)/(M48-L48+1),100%))</f>
        <v>1</v>
      </c>
      <c r="Q48" s="247">
        <f t="shared" ca="1" si="15"/>
        <v>0</v>
      </c>
      <c r="R48" s="262" t="s">
        <v>38</v>
      </c>
      <c r="S48" s="280" t="s">
        <v>1945</v>
      </c>
      <c r="T48" s="300">
        <v>3</v>
      </c>
      <c r="U48" s="270">
        <f>ROUND(T48/8,1)</f>
        <v>0.4</v>
      </c>
      <c r="V48" s="270">
        <f>SUM(W48:CI48)-U48</f>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c r="A49" s="274" t="str">
        <f>E49&amp;G49</f>
        <v>modesg_out_emss_vclsscp3_emss</v>
      </c>
      <c r="B49" s="142" t="s">
        <v>26</v>
      </c>
      <c r="C49" s="138" t="s">
        <v>311</v>
      </c>
      <c r="D49" s="235" t="s">
        <v>40</v>
      </c>
      <c r="E49" s="236" t="s">
        <v>332</v>
      </c>
      <c r="F49" s="236"/>
      <c r="G49" s="235" t="s">
        <v>288</v>
      </c>
      <c r="H49" s="235" t="str">
        <f>VLOOKUP(A49,'2. Status Detalhe Campos'!$A$7:$G$574,7,0)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ca="1">IF(TODAY()&lt;=L49,0,MIN((TODAY()-L49)/(M49-L49+1),100%))</f>
        <v>1</v>
      </c>
      <c r="Q49" s="247">
        <f t="shared" ca="1" si="15"/>
        <v>0</v>
      </c>
      <c r="R49" s="262" t="s">
        <v>38</v>
      </c>
      <c r="S49" s="280" t="s">
        <v>1945</v>
      </c>
      <c r="T49" s="270">
        <v>16.100000000000001</v>
      </c>
      <c r="U49" s="270">
        <f>ROUND(T49/8,1)</f>
        <v>2</v>
      </c>
      <c r="V49" s="299">
        <f>SUM(W49:CI49)-U49</f>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c r="A50" s="274"/>
      <c r="B50" s="142" t="s">
        <v>26</v>
      </c>
      <c r="C50" s="138" t="s">
        <v>26</v>
      </c>
      <c r="D50" s="134"/>
      <c r="E50" s="241" t="s">
        <v>1949</v>
      </c>
      <c r="F50" s="239" t="s">
        <v>1996</v>
      </c>
      <c r="G50" s="240">
        <f>COUNTA(G51:G60)</f>
        <v>10</v>
      </c>
      <c r="H50" s="295" t="s">
        <v>2005</v>
      </c>
      <c r="I50" s="304">
        <f>MAX(I51:I60)</f>
        <v>45603</v>
      </c>
      <c r="J50" s="277">
        <f>MIN(J51:J60)</f>
        <v>45611</v>
      </c>
      <c r="K50" s="277">
        <f>MIN(K51:K60)</f>
        <v>45611</v>
      </c>
      <c r="L50" s="278">
        <f>MIN(L51:L60)</f>
        <v>45624</v>
      </c>
      <c r="M50" s="278">
        <f>MAX(M51:M60)</f>
        <v>45624</v>
      </c>
      <c r="N50" s="323">
        <f t="array" ref="N50">MAX(IF(W50:CI50&gt;0,$W$16:$CI$16))</f>
        <v>45625</v>
      </c>
      <c r="O50" s="322">
        <f>SUMPRODUCT(O51:O60,U51:U60)/SUM(U51:U60)</f>
        <v>1</v>
      </c>
      <c r="P50" s="322">
        <f ca="1">SUMPRODUCT(P51:P60,U51:U60)/SUM(U51:U60)</f>
        <v>1</v>
      </c>
      <c r="Q50" s="247">
        <f t="shared" ref="Q50:Q60" ca="1" si="16">O50-P50</f>
        <v>0</v>
      </c>
      <c r="R50" s="262" t="s">
        <v>2018</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6"/>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c r="A51" s="274" t="str">
        <f t="shared" ref="A51:A60" si="17">E51&amp;G51</f>
        <v>lt827_mthd_usd_instrmntambito</v>
      </c>
      <c r="B51" s="142" t="s">
        <v>26</v>
      </c>
      <c r="C51" s="138" t="s">
        <v>26</v>
      </c>
      <c r="D51" s="235" t="s">
        <v>40</v>
      </c>
      <c r="E51" s="238" t="s">
        <v>1949</v>
      </c>
      <c r="F51" s="238"/>
      <c r="G51" s="238" t="s">
        <v>391</v>
      </c>
      <c r="H51" s="235" t="str">
        <f>VLOOKUP(A51,'2. Status Detalhe Campos'!$A$7:$G$574,7,0)</f>
        <v>1. Concluído</v>
      </c>
      <c r="I51" s="308">
        <v>45603</v>
      </c>
      <c r="J51" s="324">
        <v>45611</v>
      </c>
      <c r="K51" s="324">
        <v>45611</v>
      </c>
      <c r="L51" s="290">
        <f t="array" ref="L51">MIN(IF(W51:CI51&gt;0,$W$16:$CI$16))</f>
        <v>45624</v>
      </c>
      <c r="M51" s="291">
        <f t="array" ref="M51">MAX(IF(W51:CI51&gt;0,$W$16:$CI$16))</f>
        <v>45624</v>
      </c>
      <c r="N51" s="291"/>
      <c r="O51" s="248">
        <f>VLOOKUP(H51,Auxiliar!$B$16:$E$24,4,0)</f>
        <v>1</v>
      </c>
      <c r="P51" s="248">
        <f t="shared" ref="P51:P60" ca="1" si="18">IF(TODAY()&lt;=L51,0,MIN((TODAY()-L51)/(M51-L51+1),100%))</f>
        <v>1</v>
      </c>
      <c r="Q51" s="247">
        <f t="shared" ca="1" si="16"/>
        <v>0</v>
      </c>
      <c r="R51" s="262" t="s">
        <v>38</v>
      </c>
      <c r="S51" s="280"/>
      <c r="T51" s="270">
        <v>4.0999999999999996</v>
      </c>
      <c r="U51" s="270">
        <f t="shared" ref="U51:U60" si="19">ROUND(T51/8,1)</f>
        <v>0.5</v>
      </c>
      <c r="V51" s="270">
        <f t="shared" ref="V51:V60" si="20">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c r="A52" s="274" t="str">
        <f t="shared" si="17"/>
        <v>lt827_mthd_usd_instrmntref_date</v>
      </c>
      <c r="B52" s="142" t="s">
        <v>26</v>
      </c>
      <c r="C52" s="138" t="s">
        <v>26</v>
      </c>
      <c r="D52" s="235" t="s">
        <v>40</v>
      </c>
      <c r="E52" s="238" t="s">
        <v>1949</v>
      </c>
      <c r="F52" s="238"/>
      <c r="G52" s="238" t="s">
        <v>208</v>
      </c>
      <c r="H52" s="235" t="str">
        <f>VLOOKUP(A52,'2. Status Detalhe Campos'!$A$7:$G$574,7,0)</f>
        <v>1. Concluído</v>
      </c>
      <c r="I52" s="308">
        <v>45603</v>
      </c>
      <c r="J52" s="324">
        <v>45611</v>
      </c>
      <c r="K52" s="324">
        <v>45611</v>
      </c>
      <c r="L52" s="290">
        <f t="array" ref="L52">MIN(IF(W52:CI52&gt;0,$W$16:$CI$16))</f>
        <v>45624</v>
      </c>
      <c r="M52" s="291">
        <f t="array" ref="M52">MAX(IF(W52:CI52&gt;0,$W$16:$CI$16))</f>
        <v>45624</v>
      </c>
      <c r="N52" s="291"/>
      <c r="O52" s="248">
        <f>VLOOKUP(H52,Auxiliar!$B$16:$E$24,4,0)</f>
        <v>1</v>
      </c>
      <c r="P52" s="248">
        <f t="shared" ca="1" si="18"/>
        <v>1</v>
      </c>
      <c r="Q52" s="247">
        <f t="shared" ca="1" si="16"/>
        <v>0</v>
      </c>
      <c r="R52" s="262" t="s">
        <v>38</v>
      </c>
      <c r="S52" s="280"/>
      <c r="T52" s="270">
        <v>4.0999999999999996</v>
      </c>
      <c r="U52" s="270">
        <f t="shared" si="19"/>
        <v>0.5</v>
      </c>
      <c r="V52" s="270">
        <f t="shared" si="20"/>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c r="A53" s="274" t="str">
        <f t="shared" si="17"/>
        <v>lt827_mthd_usd_instrmntordem</v>
      </c>
      <c r="B53" s="142" t="s">
        <v>26</v>
      </c>
      <c r="C53" s="138" t="s">
        <v>26</v>
      </c>
      <c r="D53" s="235" t="s">
        <v>40</v>
      </c>
      <c r="E53" s="238" t="s">
        <v>1949</v>
      </c>
      <c r="F53" s="238"/>
      <c r="G53" s="238" t="s">
        <v>211</v>
      </c>
      <c r="H53" s="235" t="str">
        <f>VLOOKUP(A53,'2. Status Detalhe Campos'!$A$7:$G$574,7,0)</f>
        <v>1. Concluído</v>
      </c>
      <c r="I53" s="308">
        <v>45603</v>
      </c>
      <c r="J53" s="324">
        <v>45611</v>
      </c>
      <c r="K53" s="324">
        <v>45611</v>
      </c>
      <c r="L53" s="290">
        <f t="array" ref="L53">MIN(IF(W53:CI53&gt;0,$W$16:$CI$16))</f>
        <v>45624</v>
      </c>
      <c r="M53" s="291">
        <f t="array" ref="M53">MAX(IF(W53:CI53&gt;0,$W$16:$CI$16))</f>
        <v>45624</v>
      </c>
      <c r="N53" s="291"/>
      <c r="O53" s="248">
        <f>VLOOKUP(H53,Auxiliar!$B$16:$E$24,4,0)</f>
        <v>1</v>
      </c>
      <c r="P53" s="248">
        <f t="shared" ca="1" si="18"/>
        <v>1</v>
      </c>
      <c r="Q53" s="247">
        <f t="shared" ca="1" si="16"/>
        <v>0</v>
      </c>
      <c r="R53" s="262" t="s">
        <v>38</v>
      </c>
      <c r="S53" s="280"/>
      <c r="T53" s="270">
        <v>4.0999999999999996</v>
      </c>
      <c r="U53" s="270">
        <f t="shared" si="19"/>
        <v>0.5</v>
      </c>
      <c r="V53" s="270">
        <f t="shared" si="20"/>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c r="A54" s="274" t="str">
        <f t="shared" si="17"/>
        <v>lt827_mthd_usd_instrmnttabela</v>
      </c>
      <c r="B54" s="142" t="s">
        <v>26</v>
      </c>
      <c r="C54" s="138" t="s">
        <v>26</v>
      </c>
      <c r="D54" s="235" t="s">
        <v>40</v>
      </c>
      <c r="E54" s="238" t="s">
        <v>1949</v>
      </c>
      <c r="F54" s="238"/>
      <c r="G54" s="238" t="s">
        <v>392</v>
      </c>
      <c r="H54" s="235" t="str">
        <f>VLOOKUP(A54,'2. Status Detalhe Campos'!$A$7:$G$574,7,0)</f>
        <v>1. Concluído</v>
      </c>
      <c r="I54" s="308">
        <v>45603</v>
      </c>
      <c r="J54" s="324">
        <v>45611</v>
      </c>
      <c r="K54" s="324">
        <v>45611</v>
      </c>
      <c r="L54" s="290">
        <f t="array" ref="L54">MIN(IF(W54:CI54&gt;0,$W$16:$CI$16))</f>
        <v>45624</v>
      </c>
      <c r="M54" s="291">
        <f t="array" ref="M54">MAX(IF(W54:CI54&gt;0,$W$16:$CI$16))</f>
        <v>45624</v>
      </c>
      <c r="N54" s="291"/>
      <c r="O54" s="248">
        <f>VLOOKUP(H54,Auxiliar!$B$16:$E$24,4,0)</f>
        <v>1</v>
      </c>
      <c r="P54" s="248">
        <f t="shared" ca="1" si="18"/>
        <v>1</v>
      </c>
      <c r="Q54" s="247">
        <f t="shared" ca="1" si="16"/>
        <v>0</v>
      </c>
      <c r="R54" s="262" t="s">
        <v>38</v>
      </c>
      <c r="S54" s="280"/>
      <c r="T54" s="270">
        <v>4.0999999999999996</v>
      </c>
      <c r="U54" s="270">
        <f t="shared" si="19"/>
        <v>0.5</v>
      </c>
      <c r="V54" s="270">
        <f t="shared" si="20"/>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c r="A55" s="274" t="str">
        <f t="shared" si="17"/>
        <v>lt827_mthd_usd_instrmntorigem_scp1_emss</v>
      </c>
      <c r="B55" s="142" t="s">
        <v>26</v>
      </c>
      <c r="C55" s="138" t="s">
        <v>26</v>
      </c>
      <c r="D55" s="235" t="s">
        <v>40</v>
      </c>
      <c r="E55" s="238" t="s">
        <v>1949</v>
      </c>
      <c r="F55" s="238"/>
      <c r="G55" s="238" t="s">
        <v>320</v>
      </c>
      <c r="H55" s="235" t="str">
        <f>VLOOKUP(A55,'2. Status Detalhe Campos'!$A$7:$G$574,7,0)</f>
        <v>1. Concluído</v>
      </c>
      <c r="I55" s="308">
        <v>45603</v>
      </c>
      <c r="J55" s="324">
        <v>45611</v>
      </c>
      <c r="K55" s="324">
        <v>45611</v>
      </c>
      <c r="L55" s="290">
        <f t="array" ref="L55">MIN(IF(W55:CI55&gt;0,$W$16:$CI$16))</f>
        <v>45624</v>
      </c>
      <c r="M55" s="291">
        <f t="array" ref="M55">MAX(IF(W55:CI55&gt;0,$W$16:$CI$16))</f>
        <v>45624</v>
      </c>
      <c r="N55" s="291"/>
      <c r="O55" s="248">
        <f>VLOOKUP(H55,Auxiliar!$B$16:$E$24,4,0)</f>
        <v>1</v>
      </c>
      <c r="P55" s="248">
        <f t="shared" ca="1" si="18"/>
        <v>1</v>
      </c>
      <c r="Q55" s="247">
        <f t="shared" ca="1" si="16"/>
        <v>0</v>
      </c>
      <c r="R55" s="262" t="s">
        <v>38</v>
      </c>
      <c r="S55" s="280"/>
      <c r="T55" s="270">
        <v>4.0999999999999996</v>
      </c>
      <c r="U55" s="270">
        <f t="shared" si="19"/>
        <v>0.5</v>
      </c>
      <c r="V55" s="270">
        <f t="shared" si="20"/>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c r="A56" s="274" t="str">
        <f t="shared" si="17"/>
        <v>lt827_mthd_usd_instrmntorigem_scp2_emss</v>
      </c>
      <c r="B56" s="142" t="s">
        <v>26</v>
      </c>
      <c r="C56" s="138" t="s">
        <v>26</v>
      </c>
      <c r="D56" s="235" t="s">
        <v>40</v>
      </c>
      <c r="E56" s="238" t="s">
        <v>1949</v>
      </c>
      <c r="F56" s="238"/>
      <c r="G56" s="238" t="s">
        <v>321</v>
      </c>
      <c r="H56" s="235" t="str">
        <f>VLOOKUP(A56,'2. Status Detalhe Campos'!$A$7:$G$574,7,0)</f>
        <v>1. Concluído</v>
      </c>
      <c r="I56" s="308">
        <v>45603</v>
      </c>
      <c r="J56" s="324">
        <v>45611</v>
      </c>
      <c r="K56" s="324">
        <v>45611</v>
      </c>
      <c r="L56" s="290">
        <f t="array" ref="L56">MIN(IF(W56:CI56&gt;0,$W$16:$CI$16))</f>
        <v>45624</v>
      </c>
      <c r="M56" s="291">
        <f t="array" ref="M56">MAX(IF(W56:CI56&gt;0,$W$16:$CI$16))</f>
        <v>45624</v>
      </c>
      <c r="N56" s="291"/>
      <c r="O56" s="248">
        <f>VLOOKUP(H56,Auxiliar!$B$16:$E$24,4,0)</f>
        <v>1</v>
      </c>
      <c r="P56" s="248">
        <f t="shared" ca="1" si="18"/>
        <v>1</v>
      </c>
      <c r="Q56" s="247">
        <f t="shared" ca="1" si="16"/>
        <v>0</v>
      </c>
      <c r="R56" s="262" t="s">
        <v>38</v>
      </c>
      <c r="S56" s="280"/>
      <c r="T56" s="270">
        <v>4.0999999999999996</v>
      </c>
      <c r="U56" s="270">
        <f t="shared" si="19"/>
        <v>0.5</v>
      </c>
      <c r="V56" s="270">
        <f t="shared" si="20"/>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c r="A57" s="274" t="str">
        <f t="shared" si="17"/>
        <v>lt827_mthd_usd_instrmntorigem_scp3_emss</v>
      </c>
      <c r="B57" s="142" t="s">
        <v>26</v>
      </c>
      <c r="C57" s="138" t="s">
        <v>26</v>
      </c>
      <c r="D57" s="235" t="s">
        <v>40</v>
      </c>
      <c r="E57" s="238" t="s">
        <v>1949</v>
      </c>
      <c r="F57" s="238"/>
      <c r="G57" s="238" t="s">
        <v>322</v>
      </c>
      <c r="H57" s="235" t="str">
        <f>VLOOKUP(A57,'2. Status Detalhe Campos'!$A$7:$G$574,7,0)</f>
        <v>1. Concluído</v>
      </c>
      <c r="I57" s="308">
        <v>45603</v>
      </c>
      <c r="J57" s="324">
        <v>45611</v>
      </c>
      <c r="K57" s="324">
        <v>45611</v>
      </c>
      <c r="L57" s="290">
        <f t="array" ref="L57">MIN(IF(W57:CI57&gt;0,$W$16:$CI$16))</f>
        <v>45624</v>
      </c>
      <c r="M57" s="291">
        <f t="array" ref="M57">MAX(IF(W57:CI57&gt;0,$W$16:$CI$16))</f>
        <v>45624</v>
      </c>
      <c r="N57" s="291"/>
      <c r="O57" s="248">
        <f>VLOOKUP(H57,Auxiliar!$B$16:$E$24,4,0)</f>
        <v>1</v>
      </c>
      <c r="P57" s="248">
        <f t="shared" ca="1" si="18"/>
        <v>1</v>
      </c>
      <c r="Q57" s="247">
        <f t="shared" ca="1" si="16"/>
        <v>0</v>
      </c>
      <c r="R57" s="262" t="s">
        <v>38</v>
      </c>
      <c r="S57" s="280"/>
      <c r="T57" s="270">
        <v>4.0999999999999996</v>
      </c>
      <c r="U57" s="270">
        <f t="shared" si="19"/>
        <v>0.5</v>
      </c>
      <c r="V57" s="270">
        <f t="shared" si="20"/>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c r="A58" s="274" t="str">
        <f t="shared" si="17"/>
        <v>lt827_mthd_usd_instrmntmthd_usd_instrmnt_scp_1</v>
      </c>
      <c r="B58" s="142" t="s">
        <v>26</v>
      </c>
      <c r="C58" s="138" t="s">
        <v>26</v>
      </c>
      <c r="D58" s="235" t="s">
        <v>40</v>
      </c>
      <c r="E58" s="238" t="s">
        <v>1949</v>
      </c>
      <c r="F58" s="238"/>
      <c r="G58" s="238" t="s">
        <v>386</v>
      </c>
      <c r="H58" s="235" t="str">
        <f>VLOOKUP(A58,'2. Status Detalhe Campos'!$A$7:$G$574,7,0)</f>
        <v>1. Concluído</v>
      </c>
      <c r="I58" s="308">
        <v>45603</v>
      </c>
      <c r="J58" s="324">
        <v>45611</v>
      </c>
      <c r="K58" s="324">
        <v>45611</v>
      </c>
      <c r="L58" s="290">
        <f t="array" ref="L58">MIN(IF(W58:CI58&gt;0,$W$16:$CI$16))</f>
        <v>45624</v>
      </c>
      <c r="M58" s="291">
        <f t="array" ref="M58">MAX(IF(W58:CI58&gt;0,$W$16:$CI$16))</f>
        <v>45624</v>
      </c>
      <c r="N58" s="291"/>
      <c r="O58" s="248">
        <f>VLOOKUP(H58,Auxiliar!$B$16:$E$24,4,0)</f>
        <v>1</v>
      </c>
      <c r="P58" s="248">
        <f t="shared" ca="1" si="18"/>
        <v>1</v>
      </c>
      <c r="Q58" s="247">
        <f t="shared" ca="1" si="16"/>
        <v>0</v>
      </c>
      <c r="R58" s="262" t="s">
        <v>38</v>
      </c>
      <c r="S58" s="280"/>
      <c r="T58" s="270">
        <v>4.0999999999999996</v>
      </c>
      <c r="U58" s="270">
        <f t="shared" si="19"/>
        <v>0.5</v>
      </c>
      <c r="V58" s="270">
        <f t="shared" si="20"/>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c r="A59" s="274" t="str">
        <f t="shared" si="17"/>
        <v>lt827_mthd_usd_instrmntmthd_usd_instrmnt_scp_2</v>
      </c>
      <c r="B59" s="142" t="s">
        <v>26</v>
      </c>
      <c r="C59" s="138" t="s">
        <v>26</v>
      </c>
      <c r="D59" s="235" t="s">
        <v>40</v>
      </c>
      <c r="E59" s="238" t="s">
        <v>1949</v>
      </c>
      <c r="F59" s="238"/>
      <c r="G59" s="238" t="s">
        <v>387</v>
      </c>
      <c r="H59" s="235" t="str">
        <f>VLOOKUP(A59,'2. Status Detalhe Campos'!$A$7:$G$574,7,0)</f>
        <v>1. Concluído</v>
      </c>
      <c r="I59" s="308">
        <v>45603</v>
      </c>
      <c r="J59" s="324">
        <v>45611</v>
      </c>
      <c r="K59" s="324">
        <v>45611</v>
      </c>
      <c r="L59" s="290">
        <f t="array" ref="L59">MIN(IF(W59:CI59&gt;0,$W$16:$CI$16))</f>
        <v>45624</v>
      </c>
      <c r="M59" s="291">
        <f t="array" ref="M59">MAX(IF(W59:CI59&gt;0,$W$16:$CI$16))</f>
        <v>45624</v>
      </c>
      <c r="N59" s="291"/>
      <c r="O59" s="248">
        <f>VLOOKUP(H59,Auxiliar!$B$16:$E$24,4,0)</f>
        <v>1</v>
      </c>
      <c r="P59" s="248">
        <f t="shared" ca="1" si="18"/>
        <v>1</v>
      </c>
      <c r="Q59" s="247">
        <f t="shared" ca="1" si="16"/>
        <v>0</v>
      </c>
      <c r="R59" s="262" t="s">
        <v>38</v>
      </c>
      <c r="S59" s="280"/>
      <c r="T59" s="270">
        <v>4.0999999999999996</v>
      </c>
      <c r="U59" s="270">
        <f t="shared" si="19"/>
        <v>0.5</v>
      </c>
      <c r="V59" s="270">
        <f t="shared" si="20"/>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c r="A60" s="274" t="str">
        <f t="shared" si="17"/>
        <v>lt827_mthd_usd_instrmntmthd_usd_instrmnt_scp_3</v>
      </c>
      <c r="B60" s="142" t="s">
        <v>26</v>
      </c>
      <c r="C60" s="138" t="s">
        <v>26</v>
      </c>
      <c r="D60" s="235" t="s">
        <v>40</v>
      </c>
      <c r="E60" s="238" t="s">
        <v>1949</v>
      </c>
      <c r="F60" s="238"/>
      <c r="G60" s="238" t="s">
        <v>388</v>
      </c>
      <c r="H60" s="235" t="str">
        <f>VLOOKUP(A60,'2. Status Detalhe Campos'!$A$7:$G$574,7,0)</f>
        <v>1. Concluído</v>
      </c>
      <c r="I60" s="308">
        <v>45603</v>
      </c>
      <c r="J60" s="324">
        <v>45611</v>
      </c>
      <c r="K60" s="324">
        <v>45611</v>
      </c>
      <c r="L60" s="290">
        <f t="array" ref="L60">MIN(IF(W60:CI60&gt;0,$W$16:$CI$16))</f>
        <v>45624</v>
      </c>
      <c r="M60" s="291">
        <f t="array" ref="M60">MAX(IF(W60:CI60&gt;0,$W$16:$CI$16))</f>
        <v>45624</v>
      </c>
      <c r="N60" s="291"/>
      <c r="O60" s="248">
        <f>VLOOKUP(H60,Auxiliar!$B$16:$E$24,4,0)</f>
        <v>1</v>
      </c>
      <c r="P60" s="248">
        <f t="shared" ca="1" si="18"/>
        <v>1</v>
      </c>
      <c r="Q60" s="247">
        <f t="shared" ca="1" si="16"/>
        <v>0</v>
      </c>
      <c r="R60" s="262" t="s">
        <v>38</v>
      </c>
      <c r="S60" s="280"/>
      <c r="T60" s="270">
        <v>4.0999999999999996</v>
      </c>
      <c r="U60" s="270">
        <f t="shared" si="19"/>
        <v>0.5</v>
      </c>
      <c r="V60" s="270">
        <f t="shared" si="20"/>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c r="A61" s="274"/>
      <c r="B61" s="142" t="s">
        <v>26</v>
      </c>
      <c r="C61" s="138" t="s">
        <v>26</v>
      </c>
      <c r="D61" s="134"/>
      <c r="E61" s="241" t="s">
        <v>336</v>
      </c>
      <c r="F61" s="239" t="s">
        <v>1972</v>
      </c>
      <c r="G61" s="240">
        <f>COUNTA(G62:G76)</f>
        <v>15</v>
      </c>
      <c r="H61" s="295" t="s">
        <v>2005</v>
      </c>
      <c r="I61" s="278">
        <f>MAX(I62:I76)</f>
        <v>0</v>
      </c>
      <c r="J61" s="277">
        <f>MIN(J62:J76)</f>
        <v>45596</v>
      </c>
      <c r="K61" s="278">
        <f>MIN(K62:K76)</f>
        <v>45596</v>
      </c>
      <c r="L61" s="277">
        <f>MIN(L62:L76)</f>
        <v>45600</v>
      </c>
      <c r="M61" s="278">
        <f>MAX(M62:M76)</f>
        <v>45624</v>
      </c>
      <c r="N61" s="323">
        <f t="array" ref="N61">MAX(IF(W61:CI61&gt;0,$W$16:$CI$16))</f>
        <v>45625</v>
      </c>
      <c r="O61" s="322">
        <f>SUMPRODUCT(O62:O76,U62:U76)/SUM(U62:U76)</f>
        <v>1</v>
      </c>
      <c r="P61" s="322">
        <f ca="1">SUMPRODUCT(P62:P76,U62:U76)/SUM(U62:U76)</f>
        <v>1</v>
      </c>
      <c r="Q61" s="256">
        <f t="shared" ref="Q61:Q75" ca="1" si="21">O61-P61</f>
        <v>0</v>
      </c>
      <c r="R61" s="262" t="s">
        <v>2018</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6"/>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c r="A62" s="274" t="str">
        <f t="shared" ref="A62:A75" si="22">E62&amp;G62</f>
        <v>lt003_entitytxnmy_elgbl_capex_ccm</v>
      </c>
      <c r="B62" s="142" t="s">
        <v>26</v>
      </c>
      <c r="C62" s="138" t="s">
        <v>26</v>
      </c>
      <c r="D62" s="235" t="s">
        <v>40</v>
      </c>
      <c r="E62" s="238" t="s">
        <v>336</v>
      </c>
      <c r="F62" s="238"/>
      <c r="G62" s="238" t="s">
        <v>339</v>
      </c>
      <c r="H62" s="235" t="str">
        <f>VLOOKUP(A62,'2. Status Detalhe Campos'!$A$7:$G$574,7,0)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23">IF(TODAY()&lt;=L62,0,MIN((TODAY()-L62)/(M62-L62+1),100%))</f>
        <v>1</v>
      </c>
      <c r="Q62" s="247">
        <f t="shared" ca="1" si="21"/>
        <v>0</v>
      </c>
      <c r="R62" s="261"/>
      <c r="S62" s="280"/>
      <c r="T62" s="270">
        <v>4.0999999999999996</v>
      </c>
      <c r="U62" s="270">
        <f t="shared" ref="U62:U75" si="24">ROUND(T62/8,1)</f>
        <v>0.5</v>
      </c>
      <c r="V62" s="270">
        <f t="shared" ref="V62:V75" si="25">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c r="A63" s="274" t="str">
        <f t="shared" si="22"/>
        <v>lt003_entitytxnmy_elgbl_trnvr_ccm</v>
      </c>
      <c r="B63" s="142" t="s">
        <v>26</v>
      </c>
      <c r="C63" s="138" t="s">
        <v>26</v>
      </c>
      <c r="D63" s="235" t="s">
        <v>40</v>
      </c>
      <c r="E63" s="238" t="s">
        <v>336</v>
      </c>
      <c r="F63" s="238"/>
      <c r="G63" s="238" t="s">
        <v>340</v>
      </c>
      <c r="H63" s="235" t="str">
        <f>VLOOKUP(A63,'2. Status Detalhe Campos'!$A$7:$G$574,7,0)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23"/>
        <v>1</v>
      </c>
      <c r="Q63" s="247">
        <f t="shared" ca="1" si="21"/>
        <v>0</v>
      </c>
      <c r="R63" s="261"/>
      <c r="S63" s="280"/>
      <c r="T63" s="270">
        <v>4.0999999999999996</v>
      </c>
      <c r="U63" s="270">
        <f t="shared" si="24"/>
        <v>0.5</v>
      </c>
      <c r="V63" s="270">
        <f t="shared" si="25"/>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c r="A64" s="274" t="str">
        <f t="shared" si="22"/>
        <v>lt003_entitytxnmy_elgbl_capex_cca</v>
      </c>
      <c r="B64" s="142" t="s">
        <v>26</v>
      </c>
      <c r="C64" s="138" t="s">
        <v>26</v>
      </c>
      <c r="D64" s="235" t="s">
        <v>40</v>
      </c>
      <c r="E64" s="238" t="s">
        <v>336</v>
      </c>
      <c r="F64" s="238"/>
      <c r="G64" s="238" t="s">
        <v>341</v>
      </c>
      <c r="H64" s="235" t="str">
        <f>VLOOKUP(A64,'2. Status Detalhe Campos'!$A$7:$G$574,7,0)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23"/>
        <v>1</v>
      </c>
      <c r="Q64" s="247">
        <f t="shared" ca="1" si="21"/>
        <v>0</v>
      </c>
      <c r="R64" s="261"/>
      <c r="S64" s="280"/>
      <c r="T64" s="270">
        <v>4.0999999999999996</v>
      </c>
      <c r="U64" s="270">
        <f t="shared" si="24"/>
        <v>0.5</v>
      </c>
      <c r="V64" s="270">
        <f t="shared" si="25"/>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c r="A65" s="274" t="str">
        <f t="shared" si="22"/>
        <v>lt003_entitytxnmy_elgbl_trnvr_cca</v>
      </c>
      <c r="B65" s="142" t="s">
        <v>26</v>
      </c>
      <c r="C65" s="138" t="s">
        <v>26</v>
      </c>
      <c r="D65" s="235" t="s">
        <v>40</v>
      </c>
      <c r="E65" s="238" t="s">
        <v>336</v>
      </c>
      <c r="F65" s="238"/>
      <c r="G65" s="238" t="s">
        <v>342</v>
      </c>
      <c r="H65" s="235" t="str">
        <f>VLOOKUP(A65,'2. Status Detalhe Campos'!$A$7:$G$574,7,0)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23"/>
        <v>1</v>
      </c>
      <c r="Q65" s="247">
        <f t="shared" ca="1" si="21"/>
        <v>0</v>
      </c>
      <c r="R65" s="261"/>
      <c r="S65" s="280"/>
      <c r="T65" s="270">
        <v>4.0999999999999996</v>
      </c>
      <c r="U65" s="270">
        <f t="shared" si="24"/>
        <v>0.5</v>
      </c>
      <c r="V65" s="270">
        <f t="shared" si="25"/>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c r="A66" s="274" t="str">
        <f t="shared" si="22"/>
        <v>lt003_entityenblng_capex_ccm</v>
      </c>
      <c r="B66" s="142" t="s">
        <v>26</v>
      </c>
      <c r="C66" s="138" t="s">
        <v>26</v>
      </c>
      <c r="D66" s="235" t="s">
        <v>40</v>
      </c>
      <c r="E66" s="238" t="s">
        <v>336</v>
      </c>
      <c r="F66" s="238"/>
      <c r="G66" s="238" t="s">
        <v>343</v>
      </c>
      <c r="H66" s="235" t="str">
        <f>VLOOKUP(A66,'2. Status Detalhe Campos'!$A$7:$G$574,7,0)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23"/>
        <v>1</v>
      </c>
      <c r="Q66" s="247">
        <f t="shared" ca="1" si="21"/>
        <v>0</v>
      </c>
      <c r="R66" s="261"/>
      <c r="S66" s="280"/>
      <c r="T66" s="270">
        <v>4.0999999999999996</v>
      </c>
      <c r="U66" s="270">
        <f t="shared" si="24"/>
        <v>0.5</v>
      </c>
      <c r="V66" s="270">
        <f t="shared" si="25"/>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c r="A67" s="274" t="str">
        <f t="shared" si="22"/>
        <v>lt003_entityenblng_capex_cca</v>
      </c>
      <c r="B67" s="142" t="s">
        <v>26</v>
      </c>
      <c r="C67" s="138" t="s">
        <v>26</v>
      </c>
      <c r="D67" s="235" t="s">
        <v>40</v>
      </c>
      <c r="E67" s="238" t="s">
        <v>336</v>
      </c>
      <c r="F67" s="238"/>
      <c r="G67" s="238" t="s">
        <v>344</v>
      </c>
      <c r="H67" s="235" t="str">
        <f>VLOOKUP(A67,'2. Status Detalhe Campos'!$A$7:$G$574,7,0)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23"/>
        <v>1</v>
      </c>
      <c r="Q67" s="247">
        <f t="shared" ca="1" si="21"/>
        <v>0</v>
      </c>
      <c r="R67" s="261"/>
      <c r="S67" s="280"/>
      <c r="T67" s="270">
        <v>4.0999999999999996</v>
      </c>
      <c r="U67" s="270">
        <f t="shared" si="24"/>
        <v>0.5</v>
      </c>
      <c r="V67" s="270">
        <f t="shared" si="25"/>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c r="A68" s="274" t="str">
        <f t="shared" si="22"/>
        <v>lt003_entitytrnstnl_capex</v>
      </c>
      <c r="B68" s="142" t="s">
        <v>26</v>
      </c>
      <c r="C68" s="138" t="s">
        <v>26</v>
      </c>
      <c r="D68" s="235" t="s">
        <v>40</v>
      </c>
      <c r="E68" s="238" t="s">
        <v>336</v>
      </c>
      <c r="F68" s="238"/>
      <c r="G68" s="238" t="s">
        <v>345</v>
      </c>
      <c r="H68" s="235" t="str">
        <f>VLOOKUP(A68,'2. Status Detalhe Campos'!$A$7:$G$574,7,0)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23"/>
        <v>1</v>
      </c>
      <c r="Q68" s="247">
        <f t="shared" ca="1" si="21"/>
        <v>0</v>
      </c>
      <c r="R68" s="261"/>
      <c r="S68" s="280"/>
      <c r="T68" s="270">
        <v>4.0999999999999996</v>
      </c>
      <c r="U68" s="270">
        <f t="shared" si="24"/>
        <v>0.5</v>
      </c>
      <c r="V68" s="270">
        <f t="shared" si="25"/>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c r="A69" s="274" t="str">
        <f t="shared" si="22"/>
        <v>lt003_entitypure_capex_ccm</v>
      </c>
      <c r="B69" s="142" t="s">
        <v>26</v>
      </c>
      <c r="C69" s="138" t="s">
        <v>26</v>
      </c>
      <c r="D69" s="235" t="s">
        <v>40</v>
      </c>
      <c r="E69" s="238" t="s">
        <v>336</v>
      </c>
      <c r="F69" s="238"/>
      <c r="G69" s="238" t="s">
        <v>346</v>
      </c>
      <c r="H69" s="235" t="str">
        <f>VLOOKUP(A69,'2. Status Detalhe Campos'!$A$7:$G$574,7,0)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23"/>
        <v>1</v>
      </c>
      <c r="Q69" s="247">
        <f t="shared" ca="1" si="21"/>
        <v>0</v>
      </c>
      <c r="R69" s="261"/>
      <c r="S69" s="280"/>
      <c r="T69" s="270">
        <v>4.0999999999999996</v>
      </c>
      <c r="U69" s="270">
        <f t="shared" si="24"/>
        <v>0.5</v>
      </c>
      <c r="V69" s="270">
        <f t="shared" si="25"/>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c r="A70" s="274" t="str">
        <f t="shared" si="22"/>
        <v>lt003_entityenblng_trnvr_ccm</v>
      </c>
      <c r="B70" s="142" t="s">
        <v>26</v>
      </c>
      <c r="C70" s="138" t="s">
        <v>26</v>
      </c>
      <c r="D70" s="235" t="s">
        <v>40</v>
      </c>
      <c r="E70" s="238" t="s">
        <v>336</v>
      </c>
      <c r="F70" s="238"/>
      <c r="G70" s="238" t="s">
        <v>348</v>
      </c>
      <c r="H70" s="235" t="str">
        <f>VLOOKUP(A70,'2. Status Detalhe Campos'!$A$7:$G$574,7,0)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23"/>
        <v>1</v>
      </c>
      <c r="Q70" s="247">
        <f t="shared" ca="1" si="21"/>
        <v>0</v>
      </c>
      <c r="R70" s="261"/>
      <c r="S70" s="280"/>
      <c r="T70" s="270">
        <v>4.0999999999999996</v>
      </c>
      <c r="U70" s="270">
        <f t="shared" si="24"/>
        <v>0.5</v>
      </c>
      <c r="V70" s="270">
        <f t="shared" si="25"/>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c r="A71" s="274" t="str">
        <f t="shared" si="22"/>
        <v>lt003_entityenblng_trnvr_cca</v>
      </c>
      <c r="B71" s="142" t="s">
        <v>26</v>
      </c>
      <c r="C71" s="138" t="s">
        <v>26</v>
      </c>
      <c r="D71" s="235" t="s">
        <v>40</v>
      </c>
      <c r="E71" s="238" t="s">
        <v>336</v>
      </c>
      <c r="F71" s="238"/>
      <c r="G71" s="238" t="s">
        <v>349</v>
      </c>
      <c r="H71" s="235" t="str">
        <f>VLOOKUP(A71,'2. Status Detalhe Campos'!$A$7:$G$574,7,0)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23"/>
        <v>1</v>
      </c>
      <c r="Q71" s="247">
        <f t="shared" ca="1" si="21"/>
        <v>0</v>
      </c>
      <c r="R71" s="261"/>
      <c r="S71" s="280"/>
      <c r="T71" s="270">
        <v>4.0999999999999996</v>
      </c>
      <c r="U71" s="270">
        <f t="shared" si="24"/>
        <v>0.5</v>
      </c>
      <c r="V71" s="270">
        <f t="shared" si="25"/>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c r="A72" s="274" t="str">
        <f t="shared" si="22"/>
        <v>lt003_entitytrnstnl_trnvr</v>
      </c>
      <c r="B72" s="142" t="s">
        <v>26</v>
      </c>
      <c r="C72" s="138" t="s">
        <v>26</v>
      </c>
      <c r="D72" s="235" t="s">
        <v>40</v>
      </c>
      <c r="E72" s="238" t="s">
        <v>336</v>
      </c>
      <c r="F72" s="238"/>
      <c r="G72" s="238" t="s">
        <v>350</v>
      </c>
      <c r="H72" s="235" t="str">
        <f>VLOOKUP(A72,'2. Status Detalhe Campos'!$A$7:$G$574,7,0)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23"/>
        <v>1</v>
      </c>
      <c r="Q72" s="247">
        <f t="shared" ca="1" si="21"/>
        <v>0</v>
      </c>
      <c r="R72" s="261"/>
      <c r="S72" s="280"/>
      <c r="T72" s="270">
        <v>4.0999999999999996</v>
      </c>
      <c r="U72" s="270">
        <f t="shared" si="24"/>
        <v>0.5</v>
      </c>
      <c r="V72" s="270">
        <f t="shared" si="25"/>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c r="A73" s="274" t="str">
        <f t="shared" si="22"/>
        <v>lt003_entitypure_trnvr_ccm</v>
      </c>
      <c r="B73" s="142" t="s">
        <v>26</v>
      </c>
      <c r="C73" s="138" t="s">
        <v>26</v>
      </c>
      <c r="D73" s="235" t="s">
        <v>40</v>
      </c>
      <c r="E73" s="238" t="s">
        <v>336</v>
      </c>
      <c r="F73" s="238"/>
      <c r="G73" s="238" t="s">
        <v>351</v>
      </c>
      <c r="H73" s="235" t="str">
        <f>VLOOKUP(A73,'2. Status Detalhe Campos'!$A$7:$G$574,7,0)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23"/>
        <v>1</v>
      </c>
      <c r="Q73" s="247">
        <f t="shared" ca="1" si="21"/>
        <v>0</v>
      </c>
      <c r="R73" s="261"/>
      <c r="S73" s="280"/>
      <c r="T73" s="270">
        <v>4.0999999999999996</v>
      </c>
      <c r="U73" s="270">
        <f t="shared" si="24"/>
        <v>0.5</v>
      </c>
      <c r="V73" s="270">
        <f t="shared" si="25"/>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c r="A74" s="274" t="str">
        <f t="shared" si="22"/>
        <v>lt003_entitypure_trnvr_cca</v>
      </c>
      <c r="B74" s="142" t="s">
        <v>26</v>
      </c>
      <c r="C74" s="138" t="s">
        <v>26</v>
      </c>
      <c r="D74" s="235" t="s">
        <v>40</v>
      </c>
      <c r="E74" s="238" t="s">
        <v>336</v>
      </c>
      <c r="F74" s="238"/>
      <c r="G74" s="238" t="s">
        <v>352</v>
      </c>
      <c r="H74" s="235" t="str">
        <f>VLOOKUP(A74,'2. Status Detalhe Campos'!$A$7:$G$574,7,0)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23"/>
        <v>1</v>
      </c>
      <c r="Q74" s="247">
        <f t="shared" ca="1" si="21"/>
        <v>0</v>
      </c>
      <c r="R74" s="261"/>
      <c r="S74" s="280"/>
      <c r="T74" s="270">
        <v>4.0999999999999996</v>
      </c>
      <c r="U74" s="270">
        <f t="shared" si="24"/>
        <v>0.5</v>
      </c>
      <c r="V74" s="270">
        <f t="shared" si="25"/>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c r="A75" s="274" t="str">
        <f t="shared" si="22"/>
        <v>lt003_entityflg_excldd_eu_prs_algnd_bnchmrk</v>
      </c>
      <c r="B75" s="142" t="s">
        <v>26</v>
      </c>
      <c r="C75" s="138" t="s">
        <v>26</v>
      </c>
      <c r="D75" s="235" t="s">
        <v>40</v>
      </c>
      <c r="E75" s="238" t="s">
        <v>336</v>
      </c>
      <c r="F75" s="238"/>
      <c r="G75" s="238" t="s">
        <v>357</v>
      </c>
      <c r="H75" s="235" t="str">
        <f>VLOOKUP(A75,'2. Status Detalhe Campos'!$A$7:$G$574,7,0)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23"/>
        <v>1</v>
      </c>
      <c r="Q75" s="247">
        <f t="shared" ca="1" si="21"/>
        <v>0</v>
      </c>
      <c r="R75" s="261"/>
      <c r="S75" s="280"/>
      <c r="T75" s="270">
        <v>4.0999999999999996</v>
      </c>
      <c r="U75" s="270">
        <f t="shared" si="24"/>
        <v>0.5</v>
      </c>
      <c r="V75" s="270">
        <f t="shared" si="25"/>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c r="A76" s="274" t="str">
        <f>E76&amp;G76</f>
        <v>lt003_entitypst_cd</v>
      </c>
      <c r="B76" s="142" t="s">
        <v>26</v>
      </c>
      <c r="C76" s="138" t="s">
        <v>26</v>
      </c>
      <c r="D76" s="235" t="s">
        <v>40</v>
      </c>
      <c r="E76" s="238" t="s">
        <v>336</v>
      </c>
      <c r="F76" s="238"/>
      <c r="G76" s="238" t="s">
        <v>360</v>
      </c>
      <c r="H76" s="235" t="str">
        <f>VLOOKUP(A76,'2. Status Detalhe Campos'!$A$7:$G$574,7,0)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ca="1">IF(TODAY()&lt;=L76,0,MIN((TODAY()-L76)/(M76-L76+1),100%))</f>
        <v>1</v>
      </c>
      <c r="Q76" s="247">
        <f ca="1">O76-P76</f>
        <v>0</v>
      </c>
      <c r="R76" s="261"/>
      <c r="S76" s="280" t="s">
        <v>1299</v>
      </c>
      <c r="T76" s="270">
        <v>4.0999999999999996</v>
      </c>
      <c r="U76" s="270">
        <f>ROUND(T76/8,1)</f>
        <v>0.5</v>
      </c>
      <c r="V76" s="270">
        <f>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c r="A77" s="274"/>
      <c r="B77" s="142" t="s">
        <v>26</v>
      </c>
      <c r="C77" s="138" t="s">
        <v>26</v>
      </c>
      <c r="D77" s="134"/>
      <c r="E77" s="241" t="s">
        <v>380</v>
      </c>
      <c r="F77" s="239" t="s">
        <v>1993</v>
      </c>
      <c r="G77" s="240">
        <f>COUNTA(G78:G79)</f>
        <v>2</v>
      </c>
      <c r="H77" s="295" t="s">
        <v>2005</v>
      </c>
      <c r="I77" s="278">
        <f>MAX(I78:I79)</f>
        <v>45595</v>
      </c>
      <c r="J77" s="277">
        <f>MIN(J78:J79)</f>
        <v>45611</v>
      </c>
      <c r="K77" s="277">
        <f>MIN(K78:K79)</f>
        <v>45611</v>
      </c>
      <c r="L77" s="277">
        <f>MIN(L78:L79)</f>
        <v>45614</v>
      </c>
      <c r="M77" s="278">
        <f>MAX(M78:M79)</f>
        <v>45621</v>
      </c>
      <c r="N77" s="323">
        <f t="array" ref="N77">MAX(IF(W77:CI77&gt;0,$W$16:$CI$16))</f>
        <v>45625</v>
      </c>
      <c r="O77" s="322">
        <f>SUMPRODUCT(O78:O79,U78:U79)/SUM(U78:U79)</f>
        <v>1</v>
      </c>
      <c r="P77" s="322">
        <f ca="1">SUMPRODUCT(P78:P79,U78:U79)/SUM(U78:U79)</f>
        <v>1</v>
      </c>
      <c r="Q77" s="256">
        <f ca="1">O77-P77</f>
        <v>0</v>
      </c>
      <c r="R77" s="262" t="s">
        <v>2018</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c r="A78" s="274" t="str">
        <f>E78&amp;G78</f>
        <v>lt002_instrumentrsk_mtgtd_cct</v>
      </c>
      <c r="B78" s="142" t="s">
        <v>26</v>
      </c>
      <c r="C78" s="138" t="s">
        <v>26</v>
      </c>
      <c r="D78" s="235" t="s">
        <v>40</v>
      </c>
      <c r="E78" s="238" t="s">
        <v>380</v>
      </c>
      <c r="F78" s="238"/>
      <c r="G78" s="238" t="s">
        <v>381</v>
      </c>
      <c r="H78" s="235" t="str">
        <f>VLOOKUP(A78,'2. Status Detalhe Campos'!$A$7:$G$574,7,0)</f>
        <v>1. Concluído</v>
      </c>
      <c r="I78" s="324">
        <v>45595</v>
      </c>
      <c r="J78" s="324">
        <v>45611</v>
      </c>
      <c r="K78" s="324">
        <v>45611</v>
      </c>
      <c r="L78" s="290">
        <f t="array" ref="L78">MIN(IF(W78:CI78&gt;0,$W$16:$CI$16))</f>
        <v>45621</v>
      </c>
      <c r="M78" s="291">
        <f t="array" ref="M78">MAX(IF(W78:CI78&gt;0,$W$16:$CI$16))</f>
        <v>45621</v>
      </c>
      <c r="N78" s="291"/>
      <c r="O78" s="248">
        <f>VLOOKUP(H78,Auxiliar!$B$16:$E$24,4,0)</f>
        <v>1</v>
      </c>
      <c r="P78" s="248">
        <f ca="1">IF(TODAY()&lt;=L78,0,MIN((TODAY()-L78)/(M78-L78+1),100%))</f>
        <v>1</v>
      </c>
      <c r="Q78" s="247">
        <f ca="1">O78-P78</f>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c r="A79" s="274" t="str">
        <f>E79&amp;G79</f>
        <v>lt002_instrumentsstnbl_ctgry_txnmy</v>
      </c>
      <c r="B79" s="142" t="s">
        <v>26</v>
      </c>
      <c r="C79" s="138" t="s">
        <v>26</v>
      </c>
      <c r="D79" s="235" t="s">
        <v>40</v>
      </c>
      <c r="E79" s="238" t="s">
        <v>380</v>
      </c>
      <c r="F79" s="238"/>
      <c r="G79" s="238" t="s">
        <v>389</v>
      </c>
      <c r="H79" s="235" t="str">
        <f>VLOOKUP(A79,'2. Status Detalhe Campos'!$A$7:$G$574,7,0)</f>
        <v>1. Concluído</v>
      </c>
      <c r="I79" s="324">
        <v>45590</v>
      </c>
      <c r="J79" s="324">
        <v>45611</v>
      </c>
      <c r="K79" s="324">
        <v>45611</v>
      </c>
      <c r="L79" s="290">
        <f t="array" ref="L79">MIN(IF(W79:CI79&gt;0,$W$16:$CI$16))</f>
        <v>45614</v>
      </c>
      <c r="M79" s="291">
        <f t="array" ref="M79">MAX(IF(W79:CI79&gt;0,$W$16:$CI$16))</f>
        <v>45614</v>
      </c>
      <c r="N79" s="291"/>
      <c r="O79" s="248">
        <f>VLOOKUP(H79,Auxiliar!$B$16:$E$24,4,0)</f>
        <v>1</v>
      </c>
      <c r="P79" s="248">
        <f ca="1">IF(TODAY()&lt;=L79,0,MIN((TODAY()-L79)/(M79-L79+1),100%))</f>
        <v>1</v>
      </c>
      <c r="Q79" s="247">
        <f ca="1">O79-P79</f>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c r="A80" s="274"/>
      <c r="B80" s="142" t="s">
        <v>26</v>
      </c>
      <c r="C80" s="138" t="s">
        <v>26</v>
      </c>
      <c r="D80" s="134"/>
      <c r="E80" s="241" t="s">
        <v>369</v>
      </c>
      <c r="F80" s="239" t="s">
        <v>1972</v>
      </c>
      <c r="G80" s="240">
        <f>COUNTA(G81:G82)</f>
        <v>2</v>
      </c>
      <c r="H80" s="295" t="s">
        <v>2005</v>
      </c>
      <c r="I80" s="276" t="s">
        <v>38</v>
      </c>
      <c r="J80" s="277">
        <f>MIN(J81:J82)</f>
        <v>45596</v>
      </c>
      <c r="K80" s="277">
        <f>MIN(K81:K82)</f>
        <v>45596</v>
      </c>
      <c r="L80" s="277">
        <f>MIN(L81:L82)</f>
        <v>45629</v>
      </c>
      <c r="M80" s="278">
        <f>MAX(M81:M82)</f>
        <v>45630</v>
      </c>
      <c r="N80" s="323">
        <f t="array" ref="N80">MAX(IF(W80:CI80&gt;0,$W$16:$CI$16))</f>
        <v>45632</v>
      </c>
      <c r="O80" s="322">
        <f>SUMPRODUCT(O81:O82,U81:U82)/SUM(U81:U82)</f>
        <v>1</v>
      </c>
      <c r="P80" s="322">
        <f ca="1">SUMPRODUCT(P81:P82,U81:U82)/SUM(U81:U82)</f>
        <v>1</v>
      </c>
      <c r="Q80" s="313">
        <f t="shared" ref="Q80:Q127" ca="1" si="26">O80-P80</f>
        <v>0</v>
      </c>
      <c r="R80" s="374" t="s">
        <v>2042</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c r="A81" s="274" t="str">
        <f>E81&amp;G81</f>
        <v>lt004_protectionflg_act_physcl_rsk</v>
      </c>
      <c r="B81" s="142" t="s">
        <v>26</v>
      </c>
      <c r="C81" s="138" t="s">
        <v>26</v>
      </c>
      <c r="D81" s="235" t="s">
        <v>40</v>
      </c>
      <c r="E81" s="238" t="s">
        <v>369</v>
      </c>
      <c r="F81" s="238"/>
      <c r="G81" s="242" t="s">
        <v>358</v>
      </c>
      <c r="H81" s="235" t="str">
        <f>VLOOKUP(A81,'2. Status Detalhe Campos'!$A$7:$G$574,7,0)</f>
        <v>1. Concluído</v>
      </c>
      <c r="I81" s="325" t="s">
        <v>38</v>
      </c>
      <c r="J81" s="324">
        <v>45596</v>
      </c>
      <c r="K81" s="324">
        <v>45596</v>
      </c>
      <c r="L81" s="290">
        <f t="array" ref="L81">MIN(IF(W81:CI81&gt;0,$W$16:$CI$16))</f>
        <v>45629</v>
      </c>
      <c r="M81" s="291">
        <f t="array" ref="M81">MAX(IF(W81:CI81&gt;0,$W$16:$CI$16))</f>
        <v>45629</v>
      </c>
      <c r="N81" s="291"/>
      <c r="O81" s="248">
        <f>VLOOKUP(H81,Auxiliar!$B$16:$E$24,4,0)</f>
        <v>1</v>
      </c>
      <c r="P81" s="248">
        <f ca="1">IF(TODAY()&lt;=L81,0,MIN((TODAY()-L81)/(M81-L81+1),100%))</f>
        <v>1</v>
      </c>
      <c r="Q81" s="248">
        <f t="shared" ca="1" si="26"/>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c r="A82" s="274" t="str">
        <f>E82&amp;G82</f>
        <v>lt004_protectionflg_chrnc_physcl_rsk</v>
      </c>
      <c r="B82" s="142" t="s">
        <v>26</v>
      </c>
      <c r="C82" s="138" t="s">
        <v>26</v>
      </c>
      <c r="D82" s="235" t="s">
        <v>40</v>
      </c>
      <c r="E82" s="238" t="s">
        <v>369</v>
      </c>
      <c r="F82" s="238"/>
      <c r="G82" s="242" t="s">
        <v>359</v>
      </c>
      <c r="H82" s="235" t="str">
        <f>VLOOKUP(A82,'2. Status Detalhe Campos'!$A$7:$G$574,7,0)</f>
        <v>1. Concluído</v>
      </c>
      <c r="I82" s="325" t="s">
        <v>38</v>
      </c>
      <c r="J82" s="324">
        <v>45596</v>
      </c>
      <c r="K82" s="324">
        <v>45596</v>
      </c>
      <c r="L82" s="290">
        <f t="array" ref="L82">MIN(IF(W82:CI82&gt;0,$W$16:$CI$16))</f>
        <v>45630</v>
      </c>
      <c r="M82" s="291">
        <f t="array" ref="M82">MAX(IF(W82:CI82&gt;0,$W$16:$CI$16))</f>
        <v>45630</v>
      </c>
      <c r="N82" s="291"/>
      <c r="O82" s="248">
        <f>VLOOKUP(H82,Auxiliar!$B$16:$E$24,4,0)</f>
        <v>1</v>
      </c>
      <c r="P82" s="248">
        <f ca="1">IF(TODAY()&lt;=L82,0,MIN((TODAY()-L82)/(M82-L82+1),100%))</f>
        <v>1</v>
      </c>
      <c r="Q82" s="248">
        <f t="shared" ca="1" si="26"/>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16.2" collapsed="1">
      <c r="A83" s="274"/>
      <c r="B83" s="142" t="s">
        <v>26</v>
      </c>
      <c r="C83" s="138" t="s">
        <v>26</v>
      </c>
      <c r="D83" s="235"/>
      <c r="E83" s="241" t="s">
        <v>369</v>
      </c>
      <c r="F83" s="239" t="s">
        <v>2017</v>
      </c>
      <c r="G83" s="240">
        <f>COUNTA(G84:G85)</f>
        <v>2</v>
      </c>
      <c r="H83" s="275" t="s">
        <v>2011</v>
      </c>
      <c r="I83" s="278">
        <f>MAX(I84:I85)</f>
        <v>45635</v>
      </c>
      <c r="J83" s="277">
        <f>MIN(J84:J85)</f>
        <v>0</v>
      </c>
      <c r="K83" s="277">
        <f>MIN(K84:K85)</f>
        <v>0</v>
      </c>
      <c r="L83" s="277">
        <f>MIN(L84:L85)</f>
        <v>45628</v>
      </c>
      <c r="M83" s="278">
        <f>MAX(M84:M85)</f>
        <v>45639</v>
      </c>
      <c r="N83" s="323">
        <f t="array" ref="N83">MAX(IF(W83:CI83&gt;0,$W$16:$CI$16))</f>
        <v>45667</v>
      </c>
      <c r="O83" s="314">
        <f>SUMPRODUCT(O84:O85,U84:U85)/SUM(U84:U85)</f>
        <v>1</v>
      </c>
      <c r="P83" s="314">
        <f ca="1">SUMPRODUCT(P84:P85,U84:U85)/SUM(U84:U85)</f>
        <v>1</v>
      </c>
      <c r="Q83" s="247">
        <f t="shared" ca="1" si="26"/>
        <v>0</v>
      </c>
      <c r="R83" s="262" t="s">
        <v>2056</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t="s">
        <v>444</v>
      </c>
      <c r="BN83" s="281"/>
      <c r="BO83" s="282"/>
      <c r="BP83" s="282"/>
      <c r="BQ83" s="282"/>
      <c r="BR83" s="282"/>
      <c r="BS83" s="282"/>
      <c r="BT83" s="282"/>
      <c r="BU83" s="282"/>
      <c r="BV83" s="281"/>
      <c r="BW83" s="281"/>
      <c r="BX83" s="281"/>
      <c r="BY83" s="281"/>
      <c r="BZ83" s="281"/>
      <c r="CA83" s="281"/>
      <c r="CB83" s="281" t="s">
        <v>444</v>
      </c>
      <c r="CC83" s="281"/>
      <c r="CD83" s="281"/>
      <c r="CE83" s="281"/>
      <c r="CF83" s="281"/>
      <c r="CG83" s="281"/>
      <c r="CH83" s="281"/>
      <c r="CI83" s="281"/>
    </row>
    <row r="84" spans="1:87" ht="16.2" hidden="1" outlineLevel="1">
      <c r="A84" s="274" t="str">
        <f>E84&amp;G84</f>
        <v>lt004_protectionep_scr</v>
      </c>
      <c r="B84" s="142" t="s">
        <v>26</v>
      </c>
      <c r="C84" s="138" t="s">
        <v>26</v>
      </c>
      <c r="D84" s="235" t="s">
        <v>40</v>
      </c>
      <c r="E84" s="238" t="s">
        <v>369</v>
      </c>
      <c r="F84" s="238"/>
      <c r="G84" s="242" t="s">
        <v>371</v>
      </c>
      <c r="H84" s="235" t="str">
        <f>VLOOKUP(A84,'2. Status Detalhe Campos'!$A$7:$G$574,7,0)</f>
        <v>1. Concluído</v>
      </c>
      <c r="I84" s="325">
        <v>45635</v>
      </c>
      <c r="J84" s="324"/>
      <c r="K84" s="324"/>
      <c r="L84" s="290">
        <f t="array" ref="L84">MIN(IF(W84:CI84&gt;0,$W$16:$CI$16))</f>
        <v>45628</v>
      </c>
      <c r="M84" s="291">
        <f t="array" ref="M84">MAX(IF(W84:CI84&gt;0,$W$16:$CI$16))</f>
        <v>45639</v>
      </c>
      <c r="N84" s="291"/>
      <c r="O84" s="248">
        <f>VLOOKUP(H84,Auxiliar!$B$16:$E$24,4,0)</f>
        <v>1</v>
      </c>
      <c r="P84" s="248">
        <f ca="1">IF(TODAY()&lt;=L84,0,MIN((TODAY()-L84)/(M84-L84+1),100%))</f>
        <v>1</v>
      </c>
      <c r="Q84" s="248">
        <f ca="1">O84-P84</f>
        <v>0</v>
      </c>
      <c r="R84" s="261"/>
      <c r="S84" s="280" t="s">
        <v>1946</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c r="A85" s="274" t="str">
        <f>E85&amp;G85</f>
        <v>lt004_protectionepc_lbl</v>
      </c>
      <c r="B85" s="142" t="s">
        <v>26</v>
      </c>
      <c r="C85" s="138" t="s">
        <v>26</v>
      </c>
      <c r="D85" s="235" t="s">
        <v>40</v>
      </c>
      <c r="E85" s="238" t="s">
        <v>369</v>
      </c>
      <c r="F85" s="238"/>
      <c r="G85" s="242" t="s">
        <v>373</v>
      </c>
      <c r="H85" s="235" t="str">
        <f>VLOOKUP(A85,'2. Status Detalhe Campos'!$A$7:$G$574,7,0)</f>
        <v>1. Concluído</v>
      </c>
      <c r="I85" s="325">
        <v>45635</v>
      </c>
      <c r="J85" s="324"/>
      <c r="K85" s="324"/>
      <c r="L85" s="290">
        <f t="array" ref="L85">MIN(IF(W85:CI85&gt;0,$W$16:$CI$16))</f>
        <v>45629</v>
      </c>
      <c r="M85" s="291">
        <f t="array" ref="M85">MAX(IF(W85:CI85&gt;0,$W$16:$CI$16))</f>
        <v>45639</v>
      </c>
      <c r="N85" s="291"/>
      <c r="O85" s="248">
        <f>VLOOKUP(H85,Auxiliar!$B$16:$E$24,4,0)</f>
        <v>1</v>
      </c>
      <c r="P85" s="248">
        <f ca="1">IF(TODAY()&lt;=L85,0,MIN((TODAY()-L85)/(M85-L85+1),100%))</f>
        <v>1</v>
      </c>
      <c r="Q85" s="248">
        <f ca="1">O85-P85</f>
        <v>0</v>
      </c>
      <c r="R85" s="261"/>
      <c r="S85" s="280" t="s">
        <v>1946</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c r="A86" s="274"/>
      <c r="B86" s="138" t="s">
        <v>26</v>
      </c>
      <c r="C86" s="138" t="s">
        <v>26</v>
      </c>
      <c r="D86" s="235"/>
      <c r="E86" s="241" t="s">
        <v>369</v>
      </c>
      <c r="F86" s="239" t="s">
        <v>2017</v>
      </c>
      <c r="G86" s="240">
        <f>COUNTA(G87)</f>
        <v>1</v>
      </c>
      <c r="H86" s="295" t="s">
        <v>2005</v>
      </c>
      <c r="I86" s="276" t="s">
        <v>38</v>
      </c>
      <c r="J86" s="277">
        <f>MIN(J87)</f>
        <v>0</v>
      </c>
      <c r="K86" s="277">
        <f>MIN(K87)</f>
        <v>0</v>
      </c>
      <c r="L86" s="277">
        <f>MIN(L87)</f>
        <v>45628</v>
      </c>
      <c r="M86" s="278">
        <f>MAX(M87)</f>
        <v>45639</v>
      </c>
      <c r="N86" s="323">
        <f t="array" ref="N86">MAX(IF(W86:CI86&gt;0,$W$16:$CI$16))</f>
        <v>45639</v>
      </c>
      <c r="O86" s="322">
        <f>O87</f>
        <v>1</v>
      </c>
      <c r="P86" s="322">
        <f ca="1">P87</f>
        <v>1</v>
      </c>
      <c r="Q86" s="247">
        <f t="shared" ca="1" si="26"/>
        <v>0</v>
      </c>
      <c r="R86" s="374" t="s">
        <v>2051</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c r="A87" s="274" t="str">
        <f>E87&amp;G87</f>
        <v>lt004_protectiontyp_epc_lbl</v>
      </c>
      <c r="B87" s="142" t="s">
        <v>26</v>
      </c>
      <c r="C87" s="138" t="s">
        <v>26</v>
      </c>
      <c r="D87" s="235" t="s">
        <v>40</v>
      </c>
      <c r="E87" s="238" t="s">
        <v>369</v>
      </c>
      <c r="F87" s="238"/>
      <c r="G87" s="242" t="s">
        <v>372</v>
      </c>
      <c r="H87" s="235" t="str">
        <f>VLOOKUP(A87,'2. Status Detalhe Campos'!$A$7:$G$574,7,0)</f>
        <v>1. Concluído</v>
      </c>
      <c r="I87" s="325" t="s">
        <v>38</v>
      </c>
      <c r="J87" s="324"/>
      <c r="K87" s="324"/>
      <c r="L87" s="290">
        <f t="array" ref="L87">MIN(IF(W87:CI87&gt;0,$W$16:$CI$16))</f>
        <v>45628</v>
      </c>
      <c r="M87" s="291">
        <f t="array" ref="M87">MAX(IF(W87:CI87&gt;0,$W$16:$CI$16))</f>
        <v>45639</v>
      </c>
      <c r="N87" s="291"/>
      <c r="O87" s="248">
        <f>VLOOKUP(H87,Auxiliar!$B$16:$E$24,4,0)</f>
        <v>1</v>
      </c>
      <c r="P87" s="248">
        <f ca="1">IF(TODAY()&lt;=L87,0,MIN((TODAY()-L87)/(M87-L87+1),100%))</f>
        <v>1</v>
      </c>
      <c r="Q87" s="248">
        <f ca="1">O87-P87</f>
        <v>0</v>
      </c>
      <c r="R87" s="261"/>
      <c r="S87" s="280" t="s">
        <v>1946</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c r="A88" s="274"/>
      <c r="B88" s="142" t="s">
        <v>26</v>
      </c>
      <c r="C88" s="138" t="s">
        <v>26</v>
      </c>
      <c r="D88" s="134"/>
      <c r="E88" s="241" t="s">
        <v>336</v>
      </c>
      <c r="F88" s="239" t="s">
        <v>1993</v>
      </c>
      <c r="G88" s="240">
        <f>COUNTA(G89:G91)</f>
        <v>3</v>
      </c>
      <c r="H88" s="295" t="s">
        <v>2005</v>
      </c>
      <c r="I88" s="278">
        <f>MAX(I89:I91)</f>
        <v>45590</v>
      </c>
      <c r="J88" s="277">
        <f>MIN(J89:J91)</f>
        <v>45611</v>
      </c>
      <c r="K88" s="277">
        <f>MIN(K89:K91)</f>
        <v>45611</v>
      </c>
      <c r="L88" s="277">
        <f>MIN(L89:L91)</f>
        <v>45628</v>
      </c>
      <c r="M88" s="278">
        <f>MAX(M89:M91)</f>
        <v>45630</v>
      </c>
      <c r="N88" s="323">
        <f t="array" ref="N88">MAX(IF(W88:CI88&gt;0,$W$16:$CI$16))</f>
        <v>45632</v>
      </c>
      <c r="O88" s="322">
        <f>SUMPRODUCT(O89:O91,U89:U91)/SUM(U89:U91)</f>
        <v>1</v>
      </c>
      <c r="P88" s="322">
        <f ca="1">SUMPRODUCT(P89:P91,U89:U91)/SUM(U89:U91)</f>
        <v>1</v>
      </c>
      <c r="Q88" s="256">
        <f t="shared" ca="1" si="26"/>
        <v>0</v>
      </c>
      <c r="R88" s="374" t="s">
        <v>2042</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c r="A89" s="274" t="str">
        <f>E89&amp;G89</f>
        <v>lt003_entityflg_nfrd_applcblty</v>
      </c>
      <c r="B89" s="142" t="s">
        <v>26</v>
      </c>
      <c r="C89" s="138" t="s">
        <v>26</v>
      </c>
      <c r="D89" s="235" t="s">
        <v>40</v>
      </c>
      <c r="E89" s="238" t="s">
        <v>336</v>
      </c>
      <c r="F89" s="238"/>
      <c r="G89" s="238" t="s">
        <v>353</v>
      </c>
      <c r="H89" s="235" t="str">
        <f>VLOOKUP(A89,'2. Status Detalhe Campos'!$A$7:$G$574,7,0)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ca="1">IF(TODAY()&lt;=L89,0,MIN((TODAY()-L89)/(M89-L89+1),100%))</f>
        <v>1</v>
      </c>
      <c r="Q89" s="247">
        <f t="shared" ca="1" si="26"/>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c r="A90" s="274" t="str">
        <f>E90&amp;G90</f>
        <v>lt003_entitypure_capex_cca</v>
      </c>
      <c r="B90" s="142" t="s">
        <v>26</v>
      </c>
      <c r="C90" s="138" t="s">
        <v>26</v>
      </c>
      <c r="D90" s="235" t="s">
        <v>40</v>
      </c>
      <c r="E90" s="238" t="s">
        <v>336</v>
      </c>
      <c r="F90" s="238"/>
      <c r="G90" s="238" t="s">
        <v>347</v>
      </c>
      <c r="H90" s="235" t="str">
        <f>VLOOKUP(A90,'2. Status Detalhe Campos'!$A$7:$G$574,7,0)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ca="1">IF(TODAY()&lt;=L90,0,MIN((TODAY()-L90)/(M90-L90+1),100%))</f>
        <v>1</v>
      </c>
      <c r="Q90" s="247">
        <f t="shared" ca="1" si="26"/>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c r="A91" s="274" t="str">
        <f>E91&amp;G91</f>
        <v>lt003_entitygrp_annl_trnvr_le</v>
      </c>
      <c r="B91" s="142" t="s">
        <v>26</v>
      </c>
      <c r="C91" s="138" t="s">
        <v>26</v>
      </c>
      <c r="D91" s="235" t="s">
        <v>40</v>
      </c>
      <c r="E91" s="238" t="s">
        <v>336</v>
      </c>
      <c r="F91" s="238"/>
      <c r="G91" s="238" t="s">
        <v>363</v>
      </c>
      <c r="H91" s="235" t="str">
        <f>VLOOKUP(A91,'2. Status Detalhe Campos'!$A$7:$G$574,7,0)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ca="1">IF(TODAY()&lt;=L91,0,MIN((TODAY()-L91)/(M91-L91+1),100%))</f>
        <v>1</v>
      </c>
      <c r="Q91" s="247">
        <f t="shared" ca="1" si="26"/>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c r="A92" s="274"/>
      <c r="B92" s="142" t="s">
        <v>26</v>
      </c>
      <c r="C92" s="138" t="s">
        <v>26</v>
      </c>
      <c r="D92" s="235"/>
      <c r="E92" s="241" t="s">
        <v>336</v>
      </c>
      <c r="F92" s="239" t="s">
        <v>2044</v>
      </c>
      <c r="G92" s="240">
        <f>COUNTA(G93)</f>
        <v>1</v>
      </c>
      <c r="H92" s="295" t="s">
        <v>2005</v>
      </c>
      <c r="I92" s="303" t="s">
        <v>38</v>
      </c>
      <c r="J92" s="277">
        <f>MIN(J93:J94)</f>
        <v>0</v>
      </c>
      <c r="K92" s="277">
        <f>MIN(K93)</f>
        <v>0</v>
      </c>
      <c r="L92" s="277">
        <f>MIN(L93)</f>
        <v>45629</v>
      </c>
      <c r="M92" s="278">
        <f>MAX(M93)</f>
        <v>45639</v>
      </c>
      <c r="N92" s="323">
        <f t="array" ref="N92">MAX(IF(W92:CI92&gt;0,$W$16:$CI$16))</f>
        <v>45646</v>
      </c>
      <c r="O92" s="322">
        <f>O93</f>
        <v>1</v>
      </c>
      <c r="P92" s="322">
        <f ca="1">P93</f>
        <v>1</v>
      </c>
      <c r="Q92" s="256">
        <f t="shared" ca="1" si="26"/>
        <v>0</v>
      </c>
      <c r="R92" s="374" t="s">
        <v>2057</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t="s">
        <v>444</v>
      </c>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c r="A93" s="274" t="str">
        <f>E93&amp;G93</f>
        <v>lt003_entityesg_sbsctr</v>
      </c>
      <c r="B93" s="142" t="s">
        <v>26</v>
      </c>
      <c r="C93" s="138" t="s">
        <v>26</v>
      </c>
      <c r="D93" s="235" t="s">
        <v>40</v>
      </c>
      <c r="E93" s="238" t="s">
        <v>336</v>
      </c>
      <c r="F93" s="238"/>
      <c r="G93" s="238" t="s">
        <v>361</v>
      </c>
      <c r="H93" s="235" t="str">
        <f>VLOOKUP(A93,'2. Status Detalhe Campos'!$A$7:$G$574,7,0)</f>
        <v>1. Concluído</v>
      </c>
      <c r="I93" s="325" t="s">
        <v>38</v>
      </c>
      <c r="J93" s="325"/>
      <c r="K93" s="325"/>
      <c r="L93" s="290">
        <f t="array" ref="L93">MIN(IF(W93:CI93&gt;0,$W$16:$CI$16))</f>
        <v>45629</v>
      </c>
      <c r="M93" s="291">
        <f t="array" ref="M93">MAX(IF(W93:CI93&gt;0,$W$16:$CI$16))</f>
        <v>45639</v>
      </c>
      <c r="N93" s="291"/>
      <c r="O93" s="248">
        <f>VLOOKUP(H93,Auxiliar!$B$16:$E$24,4,0)</f>
        <v>1</v>
      </c>
      <c r="P93" s="248">
        <f ca="1">IF(TODAY()&lt;=L93,0,MIN((TODAY()-L93)/(M93-L93+1),100%))</f>
        <v>1</v>
      </c>
      <c r="Q93" s="248">
        <f ca="1">O93-P93</f>
        <v>0</v>
      </c>
      <c r="R93" s="373"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16.2" collapsed="1">
      <c r="A94" s="274"/>
      <c r="B94" s="142" t="s">
        <v>26</v>
      </c>
      <c r="C94" s="138" t="s">
        <v>26</v>
      </c>
      <c r="D94" s="235"/>
      <c r="E94" s="241" t="s">
        <v>336</v>
      </c>
      <c r="F94" s="239" t="s">
        <v>2045</v>
      </c>
      <c r="G94" s="240">
        <f>COUNTA(G95)</f>
        <v>1</v>
      </c>
      <c r="H94" s="295" t="s">
        <v>2005</v>
      </c>
      <c r="I94" s="304">
        <v>45636</v>
      </c>
      <c r="J94" s="277">
        <f>MIN(J95)</f>
        <v>0</v>
      </c>
      <c r="K94" s="277">
        <f>MIN(K95)</f>
        <v>0</v>
      </c>
      <c r="L94" s="277">
        <f>MIN(L95)</f>
        <v>45630</v>
      </c>
      <c r="M94" s="278">
        <f>MAX(M95)</f>
        <v>45639</v>
      </c>
      <c r="N94" s="323">
        <f t="array" ref="N94">MAX(IF(W94:CI94&gt;0,$W$16:$CI$16))</f>
        <v>45646</v>
      </c>
      <c r="O94" s="322">
        <f>O95</f>
        <v>1</v>
      </c>
      <c r="P94" s="322">
        <f ca="1">P95</f>
        <v>1</v>
      </c>
      <c r="Q94" s="256">
        <f ca="1">O94-P94</f>
        <v>0</v>
      </c>
      <c r="R94" s="374" t="s">
        <v>2057</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t="s">
        <v>444</v>
      </c>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c r="A95" s="274" t="str">
        <f>E95&amp;G95</f>
        <v>lt003_entitygrp_ttl_lblty</v>
      </c>
      <c r="B95" s="142" t="s">
        <v>26</v>
      </c>
      <c r="C95" s="138" t="s">
        <v>26</v>
      </c>
      <c r="D95" s="235" t="s">
        <v>40</v>
      </c>
      <c r="E95" s="238" t="s">
        <v>336</v>
      </c>
      <c r="F95" s="238"/>
      <c r="G95" s="238" t="s">
        <v>364</v>
      </c>
      <c r="H95" s="235" t="str">
        <f>VLOOKUP(A95,'2. Status Detalhe Campos'!$A$7:$G$574,7,0)</f>
        <v>1. Concluído</v>
      </c>
      <c r="I95" s="325">
        <v>45636</v>
      </c>
      <c r="J95" s="325"/>
      <c r="K95" s="325"/>
      <c r="L95" s="290">
        <f t="array" ref="L95">MIN(IF(W95:CI95&gt;0,$W$16:$CI$16))</f>
        <v>45630</v>
      </c>
      <c r="M95" s="291">
        <f t="array" ref="M95">MAX(IF(W95:CI95&gt;0,$W$16:$CI$16))</f>
        <v>45639</v>
      </c>
      <c r="N95" s="291"/>
      <c r="O95" s="248">
        <f>VLOOKUP(H95,Auxiliar!$B$16:$E$24,4,0)</f>
        <v>1</v>
      </c>
      <c r="P95" s="248">
        <f ca="1">IF(TODAY()&lt;=L95,0,MIN((TODAY()-L95)/(M95-L95+1),100%))</f>
        <v>1</v>
      </c>
      <c r="Q95" s="248">
        <f ca="1">O95-P95</f>
        <v>0</v>
      </c>
      <c r="R95" s="373"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c r="A96" s="274"/>
      <c r="B96" s="142" t="s">
        <v>26</v>
      </c>
      <c r="C96" s="138" t="s">
        <v>26</v>
      </c>
      <c r="D96" s="134"/>
      <c r="E96" s="241" t="s">
        <v>336</v>
      </c>
      <c r="F96" s="239" t="s">
        <v>2046</v>
      </c>
      <c r="G96" s="240">
        <f>COUNTA(G97)</f>
        <v>1</v>
      </c>
      <c r="H96" s="295" t="s">
        <v>2005</v>
      </c>
      <c r="I96" s="278">
        <f>MAX(I97)</f>
        <v>45603</v>
      </c>
      <c r="J96" s="278">
        <f>MAX(J97)</f>
        <v>0</v>
      </c>
      <c r="K96" s="278">
        <f>MAX(K97)</f>
        <v>0</v>
      </c>
      <c r="L96" s="277">
        <f>MIN(L97)</f>
        <v>45628</v>
      </c>
      <c r="M96" s="278">
        <f>MAX(M97)</f>
        <v>45639</v>
      </c>
      <c r="N96" s="323">
        <f t="array" ref="N96">MAX(IF(W96:CI96&gt;0,$W$16:$CI$16))</f>
        <v>45639</v>
      </c>
      <c r="O96" s="322">
        <f>O97</f>
        <v>1</v>
      </c>
      <c r="P96" s="322">
        <f ca="1">P97</f>
        <v>1</v>
      </c>
      <c r="Q96" s="247">
        <f t="shared" ca="1" si="26"/>
        <v>0</v>
      </c>
      <c r="R96" s="374" t="s">
        <v>2051</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c r="A97" s="274" t="str">
        <f>E97&amp;G97</f>
        <v>lt003_entityisin</v>
      </c>
      <c r="B97" s="142" t="s">
        <v>26</v>
      </c>
      <c r="C97" s="138" t="s">
        <v>26</v>
      </c>
      <c r="D97" s="235" t="s">
        <v>40</v>
      </c>
      <c r="E97" s="238" t="s">
        <v>336</v>
      </c>
      <c r="F97" s="238"/>
      <c r="G97" s="238" t="s">
        <v>239</v>
      </c>
      <c r="H97" s="235" t="str">
        <f>VLOOKUP(A97,'2. Status Detalhe Campos'!$A$7:$G$574,7,0)</f>
        <v>1. Concluído</v>
      </c>
      <c r="I97" s="285">
        <v>45603</v>
      </c>
      <c r="J97" s="285"/>
      <c r="K97" s="285"/>
      <c r="L97" s="290">
        <f t="array" ref="L97">MIN(IF(W97:CI97&gt;0,$W$16:$CI$16))</f>
        <v>45628</v>
      </c>
      <c r="M97" s="291">
        <f t="array" ref="M97">MAX(IF(W97:CI97&gt;0,$W$16:$CI$16))</f>
        <v>45639</v>
      </c>
      <c r="N97" s="291"/>
      <c r="O97" s="248">
        <f>VLOOKUP(H97,Auxiliar!$B$16:$E$24,4,0)</f>
        <v>1</v>
      </c>
      <c r="P97" s="313">
        <f ca="1">IF(TODAY()&lt;=L97,0,MIN((TODAY()-L97)/(M97-L97+1),100%))</f>
        <v>1</v>
      </c>
      <c r="Q97" s="247">
        <f t="shared" ca="1" si="26"/>
        <v>0</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c r="A98" s="274"/>
      <c r="B98" s="142" t="s">
        <v>26</v>
      </c>
      <c r="C98" s="138" t="s">
        <v>26</v>
      </c>
      <c r="D98" s="134"/>
      <c r="E98" s="375" t="s">
        <v>369</v>
      </c>
      <c r="F98" s="239" t="s">
        <v>1993</v>
      </c>
      <c r="G98" s="240">
        <f>COUNTA(G99:G101)</f>
        <v>3</v>
      </c>
      <c r="H98" s="295" t="s">
        <v>2005</v>
      </c>
      <c r="I98" s="278">
        <f>MAX(I99:I101)</f>
        <v>45595</v>
      </c>
      <c r="J98" s="277">
        <f>MIN(J99:J101)</f>
        <v>45611</v>
      </c>
      <c r="K98" s="277">
        <f>MIN(K99:K101)</f>
        <v>45611</v>
      </c>
      <c r="L98" s="277">
        <f>MIN(L99:L101)</f>
        <v>45629</v>
      </c>
      <c r="M98" s="278">
        <f>MAX(M99:M101)</f>
        <v>45629</v>
      </c>
      <c r="N98" s="323">
        <f t="array" ref="N98">MAX(IF(W98:CI98&gt;0,$W$16:$CI$16))</f>
        <v>45632</v>
      </c>
      <c r="O98" s="322">
        <f>SUMPRODUCT(O99:O101,U99:U101)/SUM(U99:U101)</f>
        <v>1</v>
      </c>
      <c r="P98" s="322">
        <f ca="1">SUMPRODUCT(P99:P101,U99:U101)/SUM(U99:U101)</f>
        <v>1</v>
      </c>
      <c r="Q98" s="313">
        <f t="shared" ca="1" si="26"/>
        <v>0</v>
      </c>
      <c r="R98" s="374" t="s">
        <v>2042</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7"/>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c r="A99" s="274" t="str">
        <f>E99&amp;G99</f>
        <v>lt004_protectionrl_estt_clltrl_lctn</v>
      </c>
      <c r="B99" s="142" t="s">
        <v>26</v>
      </c>
      <c r="C99" s="138" t="s">
        <v>26</v>
      </c>
      <c r="D99" s="235" t="s">
        <v>40</v>
      </c>
      <c r="E99" s="238" t="s">
        <v>369</v>
      </c>
      <c r="F99" s="238"/>
      <c r="G99" s="242" t="s">
        <v>435</v>
      </c>
      <c r="H99" s="235" t="str">
        <f>VLOOKUP(A99,'2. Status Detalhe Campos'!$A$7:$G$574,7,0)</f>
        <v>1. Concluído</v>
      </c>
      <c r="I99" s="285">
        <v>45588</v>
      </c>
      <c r="J99" s="324"/>
      <c r="K99" s="324">
        <v>45631</v>
      </c>
      <c r="L99" s="290">
        <f t="array" ref="L99">MIN(IF(W99:CI99&gt;0,$W$16:$CI$16))</f>
        <v>45629</v>
      </c>
      <c r="M99" s="291">
        <f t="array" ref="M99">MAX(IF(W99:CI99&gt;0,$W$16:$CI$16))</f>
        <v>45629</v>
      </c>
      <c r="N99" s="291"/>
      <c r="O99" s="248">
        <f>VLOOKUP(H99,Auxiliar!$B$16:$E$24,4,0)</f>
        <v>1</v>
      </c>
      <c r="P99" s="248">
        <f ca="1">IF(TODAY()&lt;=L99,0,MIN((TODAY()-L99)/(M99-L99+1),100%))</f>
        <v>1</v>
      </c>
      <c r="Q99" s="247">
        <f t="shared" ca="1" si="26"/>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c r="A100" s="274" t="str">
        <f>E100&amp;G100</f>
        <v>lt004_protectionrl_estt_pst_cd</v>
      </c>
      <c r="B100" s="142" t="s">
        <v>26</v>
      </c>
      <c r="C100" s="138" t="s">
        <v>26</v>
      </c>
      <c r="D100" s="235" t="s">
        <v>40</v>
      </c>
      <c r="E100" s="238" t="s">
        <v>369</v>
      </c>
      <c r="F100" s="238"/>
      <c r="G100" s="242" t="s">
        <v>436</v>
      </c>
      <c r="H100" s="235" t="str">
        <f>VLOOKUP(A100,'2. Status Detalhe Campos'!$A$7:$G$574,7,0)</f>
        <v>1. Concluído</v>
      </c>
      <c r="I100" s="285">
        <v>45588</v>
      </c>
      <c r="J100" s="324">
        <v>45611</v>
      </c>
      <c r="K100" s="324">
        <v>45611</v>
      </c>
      <c r="L100" s="290">
        <f t="array" ref="L100">MIN(IF(W100:CI100&gt;0,$W$16:$CI$16))</f>
        <v>45629</v>
      </c>
      <c r="M100" s="291">
        <f t="array" ref="M100">MAX(IF(W100:CI100&gt;0,$W$16:$CI$16))</f>
        <v>45629</v>
      </c>
      <c r="N100" s="291"/>
      <c r="O100" s="248">
        <f>VLOOKUP(H100,Auxiliar!$B$16:$E$24,4,0)</f>
        <v>1</v>
      </c>
      <c r="P100" s="248">
        <f ca="1">IF(TODAY()&lt;=L100,0,MIN((TODAY()-L100)/(M100-L100+1),100%))</f>
        <v>1</v>
      </c>
      <c r="Q100" s="247">
        <f t="shared" ca="1" si="26"/>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c r="A101" s="274" t="str">
        <f>E101&amp;G101</f>
        <v>lt004_protectiontyp_ep_scr</v>
      </c>
      <c r="B101" s="142" t="s">
        <v>26</v>
      </c>
      <c r="C101" s="138" t="s">
        <v>26</v>
      </c>
      <c r="D101" s="235"/>
      <c r="E101" s="238" t="s">
        <v>369</v>
      </c>
      <c r="F101" s="238"/>
      <c r="G101" s="242" t="s">
        <v>370</v>
      </c>
      <c r="H101" s="235" t="str">
        <f>VLOOKUP(A101,'2. Status Detalhe Campos'!$A$7:$G$574,7,0)</f>
        <v>1. Concluído</v>
      </c>
      <c r="I101" s="285">
        <v>45595</v>
      </c>
      <c r="J101" s="324">
        <v>45611</v>
      </c>
      <c r="K101" s="324">
        <v>45611</v>
      </c>
      <c r="L101" s="290">
        <f t="array" ref="L101">MIN(IF(W101:CI101&gt;0,$W$16:$CI$16))</f>
        <v>45629</v>
      </c>
      <c r="M101" s="291">
        <f t="array" ref="M101">MAX(IF(W101:CI101&gt;0,$W$16:$CI$16))</f>
        <v>45629</v>
      </c>
      <c r="N101" s="291"/>
      <c r="O101" s="248">
        <f>VLOOKUP(H101,Auxiliar!$B$16:$E$24,4,0)</f>
        <v>1</v>
      </c>
      <c r="P101" s="248">
        <f ca="1">IF(TODAY()&lt;=L101,0,MIN((TODAY()-L101)/(M101-L101+1),100%))</f>
        <v>1</v>
      </c>
      <c r="Q101" s="247">
        <f t="shared" ca="1" si="26"/>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c r="A102" s="274"/>
      <c r="B102" s="142" t="s">
        <v>26</v>
      </c>
      <c r="C102" s="138" t="s">
        <v>26</v>
      </c>
      <c r="D102" s="134"/>
      <c r="E102" s="375" t="s">
        <v>369</v>
      </c>
      <c r="F102" s="239" t="s">
        <v>1993</v>
      </c>
      <c r="G102" s="240">
        <f>COUNTA(G103)</f>
        <v>1</v>
      </c>
      <c r="H102" s="295" t="s">
        <v>2005</v>
      </c>
      <c r="I102" s="278" t="s">
        <v>38</v>
      </c>
      <c r="J102" s="277">
        <f>MIN(J103)</f>
        <v>0</v>
      </c>
      <c r="K102" s="277">
        <f>MIN(K103)</f>
        <v>0</v>
      </c>
      <c r="L102" s="277">
        <f>MIN(L103)</f>
        <v>45629</v>
      </c>
      <c r="M102" s="278">
        <f>MAX(M103)</f>
        <v>45639</v>
      </c>
      <c r="N102" s="323">
        <f t="array" ref="N102">MAX(IF(W102:CI102&gt;0,$W$16:$CI$16))</f>
        <v>45639</v>
      </c>
      <c r="O102" s="322">
        <f>O103</f>
        <v>1</v>
      </c>
      <c r="P102" s="322">
        <f ca="1">P103</f>
        <v>1</v>
      </c>
      <c r="Q102" s="313">
        <f ca="1">O102-P102</f>
        <v>0</v>
      </c>
      <c r="R102" s="374" t="s">
        <v>2051</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c r="A103" s="274" t="str">
        <f>E103&amp;G103</f>
        <v>lt004_protectionprtctn_id</v>
      </c>
      <c r="B103" s="142" t="s">
        <v>26</v>
      </c>
      <c r="C103" s="138" t="s">
        <v>26</v>
      </c>
      <c r="D103" s="235" t="s">
        <v>40</v>
      </c>
      <c r="E103" s="238" t="s">
        <v>369</v>
      </c>
      <c r="F103" s="238"/>
      <c r="G103" s="242" t="s">
        <v>434</v>
      </c>
      <c r="H103" s="235" t="str">
        <f>VLOOKUP(A103,'2. Status Detalhe Campos'!$A$7:$G$574,7,0)</f>
        <v>1. Concluído</v>
      </c>
      <c r="I103" s="324" t="s">
        <v>38</v>
      </c>
      <c r="J103" s="324"/>
      <c r="K103" s="324"/>
      <c r="L103" s="290">
        <f t="array" ref="L103">MIN(IF(W103:CI103&gt;0,$W$16:$CI$16))</f>
        <v>45629</v>
      </c>
      <c r="M103" s="291">
        <f t="array" ref="M103">MAX(IF(W103:CI103&gt;0,$W$16:$CI$16))</f>
        <v>45639</v>
      </c>
      <c r="N103" s="291"/>
      <c r="O103" s="248">
        <f>VLOOKUP(H103,Auxiliar!$B$16:$E$24,4,0)</f>
        <v>1</v>
      </c>
      <c r="P103" s="248">
        <f ca="1">IF(TODAY()&lt;=L103,0,MIN((TODAY()-L103)/(M103-L103+1),100%))</f>
        <v>1</v>
      </c>
      <c r="Q103" s="247">
        <f ca="1">O103-P103</f>
        <v>0</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75" t="s">
        <v>369</v>
      </c>
      <c r="F104" s="239" t="s">
        <v>2044</v>
      </c>
      <c r="G104" s="240">
        <f>COUNTA(G105)</f>
        <v>1</v>
      </c>
      <c r="H104" s="275" t="s">
        <v>2011</v>
      </c>
      <c r="I104" s="278" t="s">
        <v>38</v>
      </c>
      <c r="J104" s="277">
        <f>MIN(J105)</f>
        <v>0</v>
      </c>
      <c r="K104" s="277">
        <f>MIN(K105)</f>
        <v>0</v>
      </c>
      <c r="L104" s="277">
        <f>MIN(L105)</f>
        <v>45629</v>
      </c>
      <c r="M104" s="278">
        <f>MAX(M105)</f>
        <v>45639</v>
      </c>
      <c r="N104" s="323">
        <f t="array" ref="N104">MAX(IF(W104:CI104&gt;0,$W$16:$CI$16))</f>
        <v>45667</v>
      </c>
      <c r="O104" s="314">
        <f>O105</f>
        <v>0</v>
      </c>
      <c r="P104" s="314">
        <f ca="1">P105</f>
        <v>1</v>
      </c>
      <c r="Q104" s="313">
        <f ca="1">O104-P104</f>
        <v>-1</v>
      </c>
      <c r="R104" s="262" t="s">
        <v>2043</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7" t="s">
        <v>444</v>
      </c>
      <c r="BI104" s="281"/>
      <c r="BJ104" s="281"/>
      <c r="BK104" s="281"/>
      <c r="BL104" s="281"/>
      <c r="BM104" s="327" t="s">
        <v>444</v>
      </c>
      <c r="BN104" s="281"/>
      <c r="BO104" s="282"/>
      <c r="BP104" s="282"/>
      <c r="BQ104" s="282"/>
      <c r="BR104" s="282"/>
      <c r="BS104" s="282"/>
      <c r="BT104" s="282"/>
      <c r="BU104" s="282"/>
      <c r="BV104" s="281"/>
      <c r="BW104" s="281"/>
      <c r="BX104" s="281"/>
      <c r="BY104" s="281"/>
      <c r="BZ104" s="281"/>
      <c r="CA104" s="281"/>
      <c r="CB104" s="327" t="s">
        <v>444</v>
      </c>
      <c r="CC104" s="281"/>
      <c r="CD104" s="281"/>
      <c r="CE104" s="281"/>
      <c r="CF104" s="281"/>
      <c r="CG104" s="281"/>
      <c r="CH104" s="281"/>
      <c r="CI104" s="281"/>
    </row>
    <row r="105" spans="1:87" ht="16.2" hidden="1" outlineLevel="1">
      <c r="A105" s="274" t="str">
        <f>E105&amp;G105</f>
        <v>lt004_protectionorgnl_prtctn_vl</v>
      </c>
      <c r="B105" s="142" t="s">
        <v>26</v>
      </c>
      <c r="C105" s="138" t="s">
        <v>26</v>
      </c>
      <c r="D105" s="235" t="s">
        <v>40</v>
      </c>
      <c r="E105" s="238" t="s">
        <v>369</v>
      </c>
      <c r="F105" s="238"/>
      <c r="G105" s="242" t="s">
        <v>438</v>
      </c>
      <c r="H105" s="235" t="str">
        <f>VLOOKUP(A105,'2. Status Detalhe Campos'!$A$7:$G$574,7,0)</f>
        <v>5. Em Correção</v>
      </c>
      <c r="I105" s="285" t="s">
        <v>38</v>
      </c>
      <c r="J105" s="324"/>
      <c r="K105" s="324"/>
      <c r="L105" s="290">
        <f t="array" ref="L105">MIN(IF(W105:CI105&gt;0,$W$16:$CI$16))</f>
        <v>45629</v>
      </c>
      <c r="M105" s="291">
        <f t="array" ref="M105">MAX(IF(W105:CI105&gt;0,$W$16:$CI$16))</f>
        <v>45639</v>
      </c>
      <c r="N105" s="291"/>
      <c r="O105" s="248">
        <f>VLOOKUP(H105,Auxiliar!$B$16:$E$24,4,0)</f>
        <v>0</v>
      </c>
      <c r="P105" s="248">
        <f ca="1">IF(TODAY()&lt;=L105,0,MIN((TODAY()-L105)/(M105-L105+1),100%))</f>
        <v>1</v>
      </c>
      <c r="Q105" s="247">
        <f ca="1">O105-P105</f>
        <v>-1</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c r="A106" s="274"/>
      <c r="B106" s="142" t="s">
        <v>26</v>
      </c>
      <c r="C106" s="138" t="s">
        <v>311</v>
      </c>
      <c r="D106" s="134"/>
      <c r="E106" s="239" t="s">
        <v>326</v>
      </c>
      <c r="F106" s="239" t="s">
        <v>1972</v>
      </c>
      <c r="G106" s="240">
        <f>COUNTA(G107:G120)</f>
        <v>14</v>
      </c>
      <c r="H106" s="295" t="s">
        <v>2005</v>
      </c>
      <c r="I106" s="276" t="s">
        <v>38</v>
      </c>
      <c r="J106" s="277">
        <f>MIN(J107:J120)</f>
        <v>0</v>
      </c>
      <c r="K106" s="277">
        <f>MIN(K107:K120)</f>
        <v>0</v>
      </c>
      <c r="L106" s="277">
        <f>MIN(L107:L120)</f>
        <v>45615</v>
      </c>
      <c r="M106" s="278">
        <f>MAX(M107:M120)</f>
        <v>45639</v>
      </c>
      <c r="N106" s="323">
        <f t="array" ref="N106">MAX(IF(W106:CI106&gt;0,$W$16:$CI$16))</f>
        <v>45639</v>
      </c>
      <c r="O106" s="322">
        <f>SUMPRODUCT(O107:O120,U107:U120)/SUM(U107:U120)</f>
        <v>1</v>
      </c>
      <c r="P106" s="322">
        <f ca="1">SUMPRODUCT(P107:P120,U107:U120)/SUM(U107:U120)</f>
        <v>1</v>
      </c>
      <c r="Q106" s="256">
        <f t="shared" ca="1" si="26"/>
        <v>0</v>
      </c>
      <c r="R106" s="374" t="s">
        <v>2050</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c r="A107" s="274" t="str">
        <f t="shared" ref="A107:A120" si="27">E107&amp;G107</f>
        <v>modesg_out_empr_info_nfincca_capex_enblng_algnd</v>
      </c>
      <c r="B107" s="142" t="s">
        <v>26</v>
      </c>
      <c r="C107" s="138" t="s">
        <v>311</v>
      </c>
      <c r="D107" s="235" t="s">
        <v>40</v>
      </c>
      <c r="E107" s="236" t="s">
        <v>326</v>
      </c>
      <c r="F107" s="236"/>
      <c r="G107" s="235" t="s">
        <v>250</v>
      </c>
      <c r="H107" s="235" t="str">
        <f>VLOOKUP(A107,'2. Status Detalhe Campos'!$A$7:$G$574,7,0)</f>
        <v>1. Concluído</v>
      </c>
      <c r="I107" s="325" t="s">
        <v>38</v>
      </c>
      <c r="J107" s="324"/>
      <c r="K107" s="324"/>
      <c r="L107" s="290">
        <f t="array" ref="L107">MIN(IF(W107:CI107&gt;0,$W$16:$CI$16))</f>
        <v>45615</v>
      </c>
      <c r="M107" s="291">
        <f t="array" ref="M107">MAX(IF(W107:CI107&gt;0,$W$16:$CI$16))</f>
        <v>45639</v>
      </c>
      <c r="N107" s="291"/>
      <c r="O107" s="248">
        <f>VLOOKUP(H107,Auxiliar!$B$16:$E$24,4,0)</f>
        <v>1</v>
      </c>
      <c r="P107" s="248">
        <f t="shared" ref="P107:P120" ca="1" si="28">IF(TODAY()&lt;=L107,0,MIN((TODAY()-L107)/(M107-L107+1),100%))</f>
        <v>1</v>
      </c>
      <c r="Q107" s="248">
        <f t="shared" ca="1" si="26"/>
        <v>0</v>
      </c>
      <c r="R107" s="373" t="s">
        <v>38</v>
      </c>
      <c r="S107" s="280"/>
      <c r="T107" s="270">
        <v>16.100000000000001</v>
      </c>
      <c r="U107" s="299">
        <v>1</v>
      </c>
      <c r="V107" s="270">
        <f t="shared" ref="V107:V120" si="29">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c r="A108" s="274" t="str">
        <f t="shared" si="27"/>
        <v>modesg_out_empr_info_nfincca_capex_own_prfrmnce_algnd</v>
      </c>
      <c r="B108" s="142" t="s">
        <v>26</v>
      </c>
      <c r="C108" s="138" t="s">
        <v>311</v>
      </c>
      <c r="D108" s="235" t="s">
        <v>40</v>
      </c>
      <c r="E108" s="236" t="s">
        <v>326</v>
      </c>
      <c r="F108" s="236"/>
      <c r="G108" s="235" t="s">
        <v>251</v>
      </c>
      <c r="H108" s="235" t="str">
        <f>VLOOKUP(A108,'2. Status Detalhe Campos'!$A$7:$G$574,7,0)</f>
        <v>1. Concluído</v>
      </c>
      <c r="I108" s="325" t="s">
        <v>38</v>
      </c>
      <c r="J108" s="324"/>
      <c r="K108" s="324"/>
      <c r="L108" s="290">
        <f t="array" ref="L108">MIN(IF(W108:CI108&gt;0,$W$16:$CI$16))</f>
        <v>45616</v>
      </c>
      <c r="M108" s="291">
        <f t="array" ref="M108">MAX(IF(W108:CI108&gt;0,$W$16:$CI$16))</f>
        <v>45639</v>
      </c>
      <c r="N108" s="291"/>
      <c r="O108" s="248">
        <f>VLOOKUP(H108,Auxiliar!$B$16:$E$24,4,0)</f>
        <v>1</v>
      </c>
      <c r="P108" s="248">
        <f t="shared" ca="1" si="28"/>
        <v>1</v>
      </c>
      <c r="Q108" s="248">
        <f t="shared" ca="1" si="26"/>
        <v>0</v>
      </c>
      <c r="R108" s="373" t="s">
        <v>38</v>
      </c>
      <c r="S108" s="280"/>
      <c r="T108" s="270">
        <v>16.100000000000001</v>
      </c>
      <c r="U108" s="299">
        <v>1</v>
      </c>
      <c r="V108" s="270">
        <f t="shared" si="29"/>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c r="A109" s="274" t="str">
        <f t="shared" si="27"/>
        <v>modesg_out_empr_info_nfincca_capex_ttl_elgbl</v>
      </c>
      <c r="B109" s="142" t="s">
        <v>26</v>
      </c>
      <c r="C109" s="138" t="s">
        <v>311</v>
      </c>
      <c r="D109" s="235" t="s">
        <v>40</v>
      </c>
      <c r="E109" s="236" t="s">
        <v>326</v>
      </c>
      <c r="F109" s="236"/>
      <c r="G109" s="235" t="s">
        <v>249</v>
      </c>
      <c r="H109" s="235" t="str">
        <f>VLOOKUP(A109,'2. Status Detalhe Campos'!$A$7:$G$574,7,0)</f>
        <v>1. Concluído</v>
      </c>
      <c r="I109" s="325" t="s">
        <v>38</v>
      </c>
      <c r="J109" s="324"/>
      <c r="K109" s="324"/>
      <c r="L109" s="290">
        <f t="array" ref="L109">MIN(IF(W109:CI109&gt;0,$W$16:$CI$16))</f>
        <v>45617</v>
      </c>
      <c r="M109" s="291">
        <f t="array" ref="M109">MAX(IF(W109:CI109&gt;0,$W$16:$CI$16))</f>
        <v>45639</v>
      </c>
      <c r="N109" s="291"/>
      <c r="O109" s="248">
        <f>VLOOKUP(H109,Auxiliar!$B$16:$E$24,4,0)</f>
        <v>1</v>
      </c>
      <c r="P109" s="248">
        <f t="shared" ca="1" si="28"/>
        <v>1</v>
      </c>
      <c r="Q109" s="248">
        <f t="shared" ca="1" si="26"/>
        <v>0</v>
      </c>
      <c r="R109" s="373" t="s">
        <v>38</v>
      </c>
      <c r="S109" s="280"/>
      <c r="T109" s="270">
        <v>16.100000000000001</v>
      </c>
      <c r="U109" s="299">
        <v>1</v>
      </c>
      <c r="V109" s="270">
        <f t="shared" si="29"/>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c r="A110" s="274" t="str">
        <f t="shared" si="27"/>
        <v>modesg_out_empr_info_nfincca_trnvr_enblng_alignd</v>
      </c>
      <c r="B110" s="142" t="s">
        <v>26</v>
      </c>
      <c r="C110" s="138" t="s">
        <v>311</v>
      </c>
      <c r="D110" s="235" t="s">
        <v>40</v>
      </c>
      <c r="E110" s="236" t="s">
        <v>326</v>
      </c>
      <c r="F110" s="236"/>
      <c r="G110" s="235" t="s">
        <v>247</v>
      </c>
      <c r="H110" s="235" t="str">
        <f>VLOOKUP(A110,'2. Status Detalhe Campos'!$A$7:$G$574,7,0)</f>
        <v>1. Concluído</v>
      </c>
      <c r="I110" s="325" t="s">
        <v>38</v>
      </c>
      <c r="J110" s="324"/>
      <c r="K110" s="324"/>
      <c r="L110" s="290">
        <f t="array" ref="L110">MIN(IF(W110:CI110&gt;0,$W$16:$CI$16))</f>
        <v>45618</v>
      </c>
      <c r="M110" s="291">
        <f t="array" ref="M110">MAX(IF(W110:CI110&gt;0,$W$16:$CI$16))</f>
        <v>45639</v>
      </c>
      <c r="N110" s="291"/>
      <c r="O110" s="248">
        <f>VLOOKUP(H110,Auxiliar!$B$16:$E$24,4,0)</f>
        <v>1</v>
      </c>
      <c r="P110" s="248">
        <f t="shared" ca="1" si="28"/>
        <v>1</v>
      </c>
      <c r="Q110" s="248">
        <f t="shared" ca="1" si="26"/>
        <v>0</v>
      </c>
      <c r="R110" s="373" t="s">
        <v>38</v>
      </c>
      <c r="S110" s="280"/>
      <c r="T110" s="300">
        <v>4</v>
      </c>
      <c r="U110" s="270">
        <f t="shared" ref="U110:U120" si="30">ROUND(T110/8,1)</f>
        <v>0.5</v>
      </c>
      <c r="V110" s="270">
        <f t="shared" si="29"/>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c r="A111" s="274" t="str">
        <f t="shared" si="27"/>
        <v>modesg_out_empr_info_nfincca_trnvr_ttl_elgbl</v>
      </c>
      <c r="B111" s="142" t="s">
        <v>26</v>
      </c>
      <c r="C111" s="138" t="s">
        <v>311</v>
      </c>
      <c r="D111" s="235" t="s">
        <v>40</v>
      </c>
      <c r="E111" s="236" t="s">
        <v>326</v>
      </c>
      <c r="F111" s="236"/>
      <c r="G111" s="235" t="s">
        <v>246</v>
      </c>
      <c r="H111" s="235" t="str">
        <f>VLOOKUP(A111,'2. Status Detalhe Campos'!$A$7:$G$574,7,0)</f>
        <v>1. Concluído</v>
      </c>
      <c r="I111" s="325" t="s">
        <v>38</v>
      </c>
      <c r="J111" s="324"/>
      <c r="K111" s="324"/>
      <c r="L111" s="290">
        <f t="array" ref="L111">MIN(IF(W111:CI111&gt;0,$W$16:$CI$16))</f>
        <v>45618</v>
      </c>
      <c r="M111" s="291">
        <f t="array" ref="M111">MAX(IF(W111:CI111&gt;0,$W$16:$CI$16))</f>
        <v>45639</v>
      </c>
      <c r="N111" s="291"/>
      <c r="O111" s="248">
        <f>VLOOKUP(H111,Auxiliar!$B$16:$E$24,4,0)</f>
        <v>1</v>
      </c>
      <c r="P111" s="248">
        <f t="shared" ca="1" si="28"/>
        <v>1</v>
      </c>
      <c r="Q111" s="248">
        <f t="shared" ca="1" si="26"/>
        <v>0</v>
      </c>
      <c r="R111" s="373" t="s">
        <v>38</v>
      </c>
      <c r="S111" s="280"/>
      <c r="T111" s="300">
        <v>4</v>
      </c>
      <c r="U111" s="270">
        <f t="shared" si="30"/>
        <v>0.5</v>
      </c>
      <c r="V111" s="270">
        <f t="shared" si="29"/>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c r="A112" s="274" t="str">
        <f t="shared" si="27"/>
        <v>modesg_out_empr_info_nfincca_turnover_own_prfrmnce_algnd</v>
      </c>
      <c r="B112" s="142" t="s">
        <v>26</v>
      </c>
      <c r="C112" s="138" t="s">
        <v>311</v>
      </c>
      <c r="D112" s="235" t="s">
        <v>40</v>
      </c>
      <c r="E112" s="236" t="s">
        <v>326</v>
      </c>
      <c r="F112" s="236"/>
      <c r="G112" s="235" t="s">
        <v>248</v>
      </c>
      <c r="H112" s="235" t="str">
        <f>VLOOKUP(A112,'2. Status Detalhe Campos'!$A$7:$G$574,7,0)</f>
        <v>1. Concluído</v>
      </c>
      <c r="I112" s="325" t="s">
        <v>38</v>
      </c>
      <c r="J112" s="324"/>
      <c r="K112" s="324"/>
      <c r="L112" s="290">
        <f t="array" ref="L112">MIN(IF(W112:CI112&gt;0,$W$16:$CI$16))</f>
        <v>45621</v>
      </c>
      <c r="M112" s="291">
        <f t="array" ref="M112">MAX(IF(W112:CI112&gt;0,$W$16:$CI$16))</f>
        <v>45639</v>
      </c>
      <c r="N112" s="291"/>
      <c r="O112" s="248">
        <f>VLOOKUP(H112,Auxiliar!$B$16:$E$24,4,0)</f>
        <v>1</v>
      </c>
      <c r="P112" s="248">
        <f t="shared" ca="1" si="28"/>
        <v>1</v>
      </c>
      <c r="Q112" s="248">
        <f t="shared" ca="1" si="26"/>
        <v>0</v>
      </c>
      <c r="R112" s="373" t="s">
        <v>38</v>
      </c>
      <c r="S112" s="280"/>
      <c r="T112" s="300">
        <v>4</v>
      </c>
      <c r="U112" s="270">
        <f t="shared" si="30"/>
        <v>0.5</v>
      </c>
      <c r="V112" s="270">
        <f t="shared" si="29"/>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c r="A113" s="274" t="str">
        <f t="shared" si="27"/>
        <v>modesg_out_empr_info_nfinccm_capex_enblng_algnd</v>
      </c>
      <c r="B113" s="142" t="s">
        <v>26</v>
      </c>
      <c r="C113" s="138" t="s">
        <v>311</v>
      </c>
      <c r="D113" s="235" t="s">
        <v>40</v>
      </c>
      <c r="E113" s="236" t="s">
        <v>326</v>
      </c>
      <c r="F113" s="236"/>
      <c r="G113" s="235" t="s">
        <v>257</v>
      </c>
      <c r="H113" s="235" t="str">
        <f>VLOOKUP(A113,'2. Status Detalhe Campos'!$A$7:$G$574,7,0)</f>
        <v>1. Concluído</v>
      </c>
      <c r="I113" s="325" t="s">
        <v>38</v>
      </c>
      <c r="J113" s="324"/>
      <c r="K113" s="324"/>
      <c r="L113" s="290">
        <f t="array" ref="L113">MIN(IF(W113:CI113&gt;0,$W$16:$CI$16))</f>
        <v>45621</v>
      </c>
      <c r="M113" s="291">
        <f t="array" ref="M113">MAX(IF(W113:CI113&gt;0,$W$16:$CI$16))</f>
        <v>45639</v>
      </c>
      <c r="N113" s="291"/>
      <c r="O113" s="248">
        <f>VLOOKUP(H113,Auxiliar!$B$16:$E$24,4,0)</f>
        <v>1</v>
      </c>
      <c r="P113" s="248">
        <f t="shared" ca="1" si="28"/>
        <v>1</v>
      </c>
      <c r="Q113" s="248">
        <f t="shared" ca="1" si="26"/>
        <v>0</v>
      </c>
      <c r="R113" s="373" t="s">
        <v>38</v>
      </c>
      <c r="S113" s="280"/>
      <c r="T113" s="300">
        <v>4</v>
      </c>
      <c r="U113" s="270">
        <f t="shared" si="30"/>
        <v>0.5</v>
      </c>
      <c r="V113" s="270">
        <f t="shared" si="29"/>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c r="A114" s="274" t="str">
        <f t="shared" si="27"/>
        <v>modesg_out_empr_info_nfinccm_capex_own_prfrmnce_algnd</v>
      </c>
      <c r="B114" s="142" t="s">
        <v>26</v>
      </c>
      <c r="C114" s="138" t="s">
        <v>311</v>
      </c>
      <c r="D114" s="235" t="s">
        <v>40</v>
      </c>
      <c r="E114" s="236" t="s">
        <v>326</v>
      </c>
      <c r="F114" s="236"/>
      <c r="G114" s="235" t="s">
        <v>259</v>
      </c>
      <c r="H114" s="235" t="str">
        <f>VLOOKUP(A114,'2. Status Detalhe Campos'!$A$7:$G$574,7,0)</f>
        <v>1. Concluído</v>
      </c>
      <c r="I114" s="325" t="s">
        <v>38</v>
      </c>
      <c r="J114" s="324"/>
      <c r="K114" s="324"/>
      <c r="L114" s="290">
        <f t="array" ref="L114">MIN(IF(W114:CI114&gt;0,$W$16:$CI$16))</f>
        <v>45622</v>
      </c>
      <c r="M114" s="291">
        <f t="array" ref="M114">MAX(IF(W114:CI114&gt;0,$W$16:$CI$16))</f>
        <v>45639</v>
      </c>
      <c r="N114" s="291"/>
      <c r="O114" s="248">
        <f>VLOOKUP(H114,Auxiliar!$B$16:$E$24,4,0)</f>
        <v>1</v>
      </c>
      <c r="P114" s="248">
        <f t="shared" ca="1" si="28"/>
        <v>1</v>
      </c>
      <c r="Q114" s="248">
        <f t="shared" ca="1" si="26"/>
        <v>0</v>
      </c>
      <c r="R114" s="373" t="s">
        <v>38</v>
      </c>
      <c r="S114" s="280"/>
      <c r="T114" s="300">
        <v>4</v>
      </c>
      <c r="U114" s="270">
        <f t="shared" si="30"/>
        <v>0.5</v>
      </c>
      <c r="V114" s="270">
        <f t="shared" si="29"/>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c r="A115" s="274" t="str">
        <f t="shared" si="27"/>
        <v>modesg_out_empr_info_nfinccm_capex_trnstn_algnd</v>
      </c>
      <c r="B115" s="142" t="s">
        <v>26</v>
      </c>
      <c r="C115" s="138" t="s">
        <v>311</v>
      </c>
      <c r="D115" s="235" t="s">
        <v>40</v>
      </c>
      <c r="E115" s="236" t="s">
        <v>326</v>
      </c>
      <c r="F115" s="236"/>
      <c r="G115" s="235" t="s">
        <v>258</v>
      </c>
      <c r="H115" s="235" t="str">
        <f>VLOOKUP(A115,'2. Status Detalhe Campos'!$A$7:$G$574,7,0)</f>
        <v>1. Concluído</v>
      </c>
      <c r="I115" s="325" t="s">
        <v>38</v>
      </c>
      <c r="J115" s="324"/>
      <c r="K115" s="324"/>
      <c r="L115" s="290">
        <f t="array" ref="L115">MIN(IF(W115:CI115&gt;0,$W$16:$CI$16))</f>
        <v>45622</v>
      </c>
      <c r="M115" s="291">
        <f t="array" ref="M115">MAX(IF(W115:CI115&gt;0,$W$16:$CI$16))</f>
        <v>45639</v>
      </c>
      <c r="N115" s="291"/>
      <c r="O115" s="248">
        <f>VLOOKUP(H115,Auxiliar!$B$16:$E$24,4,0)</f>
        <v>1</v>
      </c>
      <c r="P115" s="248">
        <f t="shared" ca="1" si="28"/>
        <v>1</v>
      </c>
      <c r="Q115" s="248">
        <f t="shared" ca="1" si="26"/>
        <v>0</v>
      </c>
      <c r="R115" s="373" t="s">
        <v>38</v>
      </c>
      <c r="S115" s="280"/>
      <c r="T115" s="300">
        <v>4</v>
      </c>
      <c r="U115" s="270">
        <f t="shared" si="30"/>
        <v>0.5</v>
      </c>
      <c r="V115" s="270">
        <f t="shared" si="29"/>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c r="A116" s="274" t="str">
        <f t="shared" si="27"/>
        <v>modesg_out_empr_info_nfinccm_capex_ttl_elgbl</v>
      </c>
      <c r="B116" s="142" t="s">
        <v>26</v>
      </c>
      <c r="C116" s="138" t="s">
        <v>311</v>
      </c>
      <c r="D116" s="235" t="s">
        <v>40</v>
      </c>
      <c r="E116" s="236" t="s">
        <v>326</v>
      </c>
      <c r="F116" s="236"/>
      <c r="G116" s="235" t="s">
        <v>256</v>
      </c>
      <c r="H116" s="235" t="str">
        <f>VLOOKUP(A116,'2. Status Detalhe Campos'!$A$7:$G$574,7,0)</f>
        <v>1. Concluído</v>
      </c>
      <c r="I116" s="325" t="s">
        <v>38</v>
      </c>
      <c r="J116" s="324"/>
      <c r="K116" s="324"/>
      <c r="L116" s="290">
        <f t="array" ref="L116">MIN(IF(W116:CI116&gt;0,$W$16:$CI$16))</f>
        <v>45623</v>
      </c>
      <c r="M116" s="291">
        <f t="array" ref="M116">MAX(IF(W116:CI116&gt;0,$W$16:$CI$16))</f>
        <v>45639</v>
      </c>
      <c r="N116" s="291"/>
      <c r="O116" s="248">
        <f>VLOOKUP(H116,Auxiliar!$B$16:$E$24,4,0)</f>
        <v>1</v>
      </c>
      <c r="P116" s="248">
        <f t="shared" ca="1" si="28"/>
        <v>1</v>
      </c>
      <c r="Q116" s="248">
        <f t="shared" ca="1" si="26"/>
        <v>0</v>
      </c>
      <c r="R116" s="373" t="s">
        <v>38</v>
      </c>
      <c r="S116" s="280"/>
      <c r="T116" s="300">
        <v>4</v>
      </c>
      <c r="U116" s="270">
        <f t="shared" si="30"/>
        <v>0.5</v>
      </c>
      <c r="V116" s="270">
        <f t="shared" si="29"/>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c r="A117" s="274" t="str">
        <f t="shared" si="27"/>
        <v>modesg_out_empr_info_nfinccm_trnvr_enblng_algnd</v>
      </c>
      <c r="B117" s="142" t="s">
        <v>26</v>
      </c>
      <c r="C117" s="138" t="s">
        <v>311</v>
      </c>
      <c r="D117" s="235" t="s">
        <v>40</v>
      </c>
      <c r="E117" s="236" t="s">
        <v>326</v>
      </c>
      <c r="F117" s="236"/>
      <c r="G117" s="235" t="s">
        <v>253</v>
      </c>
      <c r="H117" s="235" t="str">
        <f>VLOOKUP(A117,'2. Status Detalhe Campos'!$A$7:$G$574,7,0)</f>
        <v>1. Concluído</v>
      </c>
      <c r="I117" s="325" t="s">
        <v>38</v>
      </c>
      <c r="J117" s="324"/>
      <c r="K117" s="324"/>
      <c r="L117" s="290">
        <f t="array" ref="L117">MIN(IF(W117:CI117&gt;0,$W$16:$CI$16))</f>
        <v>45623</v>
      </c>
      <c r="M117" s="291">
        <f t="array" ref="M117">MAX(IF(W117:CI117&gt;0,$W$16:$CI$16))</f>
        <v>45639</v>
      </c>
      <c r="N117" s="291"/>
      <c r="O117" s="248">
        <f>VLOOKUP(H117,Auxiliar!$B$16:$E$24,4,0)</f>
        <v>1</v>
      </c>
      <c r="P117" s="248">
        <f t="shared" ca="1" si="28"/>
        <v>1</v>
      </c>
      <c r="Q117" s="248">
        <f t="shared" ca="1" si="26"/>
        <v>0</v>
      </c>
      <c r="R117" s="373" t="s">
        <v>38</v>
      </c>
      <c r="S117" s="280"/>
      <c r="T117" s="300">
        <v>4</v>
      </c>
      <c r="U117" s="270">
        <f t="shared" si="30"/>
        <v>0.5</v>
      </c>
      <c r="V117" s="270">
        <f t="shared" si="29"/>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c r="A118" s="274" t="str">
        <f t="shared" si="27"/>
        <v>modesg_out_empr_info_nfinccm_trnvr_own_prfrmnce_algnd</v>
      </c>
      <c r="B118" s="142" t="s">
        <v>26</v>
      </c>
      <c r="C118" s="138" t="s">
        <v>311</v>
      </c>
      <c r="D118" s="235" t="s">
        <v>40</v>
      </c>
      <c r="E118" s="236" t="s">
        <v>326</v>
      </c>
      <c r="F118" s="236"/>
      <c r="G118" s="235" t="s">
        <v>255</v>
      </c>
      <c r="H118" s="235" t="str">
        <f>VLOOKUP(A118,'2. Status Detalhe Campos'!$A$7:$G$574,7,0)</f>
        <v>1. Concluído</v>
      </c>
      <c r="I118" s="325" t="s">
        <v>38</v>
      </c>
      <c r="J118" s="324"/>
      <c r="K118" s="324"/>
      <c r="L118" s="290">
        <f t="array" ref="L118">MIN(IF(W118:CI118&gt;0,$W$16:$CI$16))</f>
        <v>45624</v>
      </c>
      <c r="M118" s="291">
        <f t="array" ref="M118">MAX(IF(W118:CI118&gt;0,$W$16:$CI$16))</f>
        <v>45639</v>
      </c>
      <c r="N118" s="291"/>
      <c r="O118" s="248">
        <f>VLOOKUP(H118,Auxiliar!$B$16:$E$24,4,0)</f>
        <v>1</v>
      </c>
      <c r="P118" s="248">
        <f t="shared" ca="1" si="28"/>
        <v>1</v>
      </c>
      <c r="Q118" s="248">
        <f t="shared" ca="1" si="26"/>
        <v>0</v>
      </c>
      <c r="R118" s="373" t="s">
        <v>38</v>
      </c>
      <c r="S118" s="280"/>
      <c r="T118" s="300">
        <v>4</v>
      </c>
      <c r="U118" s="270">
        <f t="shared" si="30"/>
        <v>0.5</v>
      </c>
      <c r="V118" s="270">
        <f t="shared" si="29"/>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c r="A119" s="274" t="str">
        <f t="shared" si="27"/>
        <v>modesg_out_empr_info_nfinccm_trnvr_trnstn_alignd</v>
      </c>
      <c r="B119" s="142" t="s">
        <v>26</v>
      </c>
      <c r="C119" s="138" t="s">
        <v>311</v>
      </c>
      <c r="D119" s="235" t="s">
        <v>40</v>
      </c>
      <c r="E119" s="236" t="s">
        <v>326</v>
      </c>
      <c r="F119" s="236"/>
      <c r="G119" s="235" t="s">
        <v>254</v>
      </c>
      <c r="H119" s="235" t="str">
        <f>VLOOKUP(A119,'2. Status Detalhe Campos'!$A$7:$G$574,7,0)</f>
        <v>1. Concluído</v>
      </c>
      <c r="I119" s="325" t="s">
        <v>38</v>
      </c>
      <c r="J119" s="324"/>
      <c r="K119" s="324"/>
      <c r="L119" s="290">
        <f t="array" ref="L119">MIN(IF(W119:CI119&gt;0,$W$16:$CI$16))</f>
        <v>45624</v>
      </c>
      <c r="M119" s="291">
        <f t="array" ref="M119">MAX(IF(W119:CI119&gt;0,$W$16:$CI$16))</f>
        <v>45639</v>
      </c>
      <c r="N119" s="291"/>
      <c r="O119" s="248">
        <f>VLOOKUP(H119,Auxiliar!$B$16:$E$24,4,0)</f>
        <v>1</v>
      </c>
      <c r="P119" s="248">
        <f t="shared" ca="1" si="28"/>
        <v>1</v>
      </c>
      <c r="Q119" s="248">
        <f t="shared" ca="1" si="26"/>
        <v>0</v>
      </c>
      <c r="R119" s="373" t="s">
        <v>38</v>
      </c>
      <c r="S119" s="280"/>
      <c r="T119" s="300">
        <v>4</v>
      </c>
      <c r="U119" s="270">
        <f t="shared" si="30"/>
        <v>0.5</v>
      </c>
      <c r="V119" s="270">
        <f t="shared" si="29"/>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c r="A120" s="274" t="str">
        <f t="shared" si="27"/>
        <v>modesg_out_empr_info_nfinccm_trnvr_ttl_elgbl</v>
      </c>
      <c r="B120" s="142" t="s">
        <v>26</v>
      </c>
      <c r="C120" s="138" t="s">
        <v>311</v>
      </c>
      <c r="D120" s="235" t="s">
        <v>40</v>
      </c>
      <c r="E120" s="236" t="s">
        <v>326</v>
      </c>
      <c r="F120" s="236"/>
      <c r="G120" s="235" t="s">
        <v>252</v>
      </c>
      <c r="H120" s="235" t="str">
        <f>VLOOKUP(A120,'2. Status Detalhe Campos'!$A$7:$G$574,7,0)</f>
        <v>1. Concluído</v>
      </c>
      <c r="I120" s="325" t="s">
        <v>38</v>
      </c>
      <c r="J120" s="324"/>
      <c r="K120" s="324"/>
      <c r="L120" s="290">
        <f t="array" ref="L120">MIN(IF(W120:CI120&gt;0,$W$16:$CI$16))</f>
        <v>45625</v>
      </c>
      <c r="M120" s="291">
        <f t="array" ref="M120">MAX(IF(W120:CI120&gt;0,$W$16:$CI$16))</f>
        <v>45639</v>
      </c>
      <c r="N120" s="291"/>
      <c r="O120" s="248">
        <f>VLOOKUP(H120,Auxiliar!$B$16:$E$24,4,0)</f>
        <v>1</v>
      </c>
      <c r="P120" s="248">
        <f t="shared" ca="1" si="28"/>
        <v>1</v>
      </c>
      <c r="Q120" s="248">
        <f t="shared" ca="1" si="26"/>
        <v>0</v>
      </c>
      <c r="R120" s="373" t="s">
        <v>38</v>
      </c>
      <c r="S120" s="280"/>
      <c r="T120" s="300">
        <v>4</v>
      </c>
      <c r="U120" s="270">
        <f t="shared" si="30"/>
        <v>0.5</v>
      </c>
      <c r="V120" s="270">
        <f t="shared" si="29"/>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c r="A121" s="274"/>
      <c r="B121" s="142" t="s">
        <v>26</v>
      </c>
      <c r="C121" s="138" t="s">
        <v>26</v>
      </c>
      <c r="D121" s="134"/>
      <c r="E121" s="241" t="s">
        <v>336</v>
      </c>
      <c r="F121" s="239" t="s">
        <v>1995</v>
      </c>
      <c r="G121" s="240">
        <f>COUNTA(G122)</f>
        <v>1</v>
      </c>
      <c r="H121" s="295" t="s">
        <v>2005</v>
      </c>
      <c r="I121" s="278">
        <f>MAX(I122)</f>
        <v>45590</v>
      </c>
      <c r="J121" s="277">
        <f>MIN(J122)</f>
        <v>0</v>
      </c>
      <c r="K121" s="329">
        <f>MIN(K122)</f>
        <v>0</v>
      </c>
      <c r="L121" s="277">
        <f>MIN(L122)</f>
        <v>45631</v>
      </c>
      <c r="M121" s="278">
        <f>MAX(M122)</f>
        <v>45639</v>
      </c>
      <c r="N121" s="323">
        <f t="array" ref="N121">MAX(IF(W121:CI121&gt;0,$W$16:$CI$16))</f>
        <v>45646</v>
      </c>
      <c r="O121" s="322">
        <f>O122</f>
        <v>1</v>
      </c>
      <c r="P121" s="322">
        <f ca="1">P122</f>
        <v>1</v>
      </c>
      <c r="Q121" s="247">
        <f t="shared" ca="1" si="26"/>
        <v>0</v>
      </c>
      <c r="R121" s="374" t="s">
        <v>2057</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t="s">
        <v>444</v>
      </c>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c r="A122" s="274" t="str">
        <f>E122&amp;G122</f>
        <v>lt003_entityttl_lblty</v>
      </c>
      <c r="B122" s="142" t="s">
        <v>26</v>
      </c>
      <c r="C122" s="138" t="s">
        <v>26</v>
      </c>
      <c r="D122" s="235" t="s">
        <v>40</v>
      </c>
      <c r="E122" s="238" t="s">
        <v>336</v>
      </c>
      <c r="F122" s="238"/>
      <c r="G122" s="238" t="s">
        <v>362</v>
      </c>
      <c r="H122" s="235" t="str">
        <f>VLOOKUP(A122,'2. Status Detalhe Campos'!$A$7:$G$574,7,0)</f>
        <v>1. Concluído</v>
      </c>
      <c r="I122" s="285">
        <v>45590</v>
      </c>
      <c r="J122" s="324"/>
      <c r="K122" s="324"/>
      <c r="L122" s="290">
        <f t="array" ref="L122">MIN(IF(W122:CI122&gt;0,$W$16:$CI$16))</f>
        <v>45631</v>
      </c>
      <c r="M122" s="291">
        <f t="array" ref="M122">MAX(IF(W122:CI122&gt;0,$W$16:$CI$16))</f>
        <v>45639</v>
      </c>
      <c r="N122" s="291"/>
      <c r="O122" s="248">
        <f>VLOOKUP(H122,Auxiliar!$B$16:$E$24,4,0)</f>
        <v>1</v>
      </c>
      <c r="P122" s="248">
        <f ca="1">IF(TODAY()&lt;=L122,0,MIN((TODAY()-L122)/(M122-L122+1),100%))</f>
        <v>1</v>
      </c>
      <c r="Q122" s="248">
        <f t="shared" ca="1" si="26"/>
        <v>0</v>
      </c>
      <c r="R122" s="373"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c r="A123" s="274"/>
      <c r="B123" s="142" t="s">
        <v>26</v>
      </c>
      <c r="C123" s="138" t="s">
        <v>311</v>
      </c>
      <c r="D123" s="134"/>
      <c r="E123" s="239" t="s">
        <v>332</v>
      </c>
      <c r="F123" s="239" t="s">
        <v>2017</v>
      </c>
      <c r="G123" s="240">
        <f>COUNTA(G124:G127)</f>
        <v>4</v>
      </c>
      <c r="H123" s="295" t="s">
        <v>2005</v>
      </c>
      <c r="I123" s="276" t="s">
        <v>38</v>
      </c>
      <c r="J123" s="277">
        <f>MIN(J124:J127)</f>
        <v>45625</v>
      </c>
      <c r="K123" s="277"/>
      <c r="L123" s="277">
        <f>MIN(L124:L127)</f>
        <v>45628</v>
      </c>
      <c r="M123" s="278">
        <f>MAX(M124:M127)</f>
        <v>45632</v>
      </c>
      <c r="N123" s="323">
        <f t="array" ref="N123">MAX(IF(W123:CI123&gt;0,$W$16:$CI$16))</f>
        <v>45632</v>
      </c>
      <c r="O123" s="322">
        <f>SUMPRODUCT(O124:O127,U124:U127)/SUM(U124:U127)</f>
        <v>1</v>
      </c>
      <c r="P123" s="322">
        <f ca="1">SUMPRODUCT(P124:P127,U124:U127)/SUM(U124:U127)</f>
        <v>1</v>
      </c>
      <c r="Q123" s="313">
        <f t="shared" ca="1" si="26"/>
        <v>0</v>
      </c>
      <c r="R123" s="374" t="s">
        <v>2042</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c r="A124" s="274" t="str">
        <f>E124&amp;G124</f>
        <v>modesg_out_emss_vclsorigem_scp1_emss</v>
      </c>
      <c r="B124" s="142" t="s">
        <v>26</v>
      </c>
      <c r="C124" s="138" t="s">
        <v>311</v>
      </c>
      <c r="D124" s="235" t="s">
        <v>40</v>
      </c>
      <c r="E124" s="236" t="s">
        <v>332</v>
      </c>
      <c r="F124" s="236"/>
      <c r="G124" s="235" t="s">
        <v>320</v>
      </c>
      <c r="H124" s="235" t="str">
        <f>VLOOKUP(A124,'2. Status Detalhe Campos'!$A$7:$G$574,7,0)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ca="1">IF(TODAY()&lt;=L124,0,MIN((TODAY()-L124)/(M124-L124+1),100%))</f>
        <v>1</v>
      </c>
      <c r="Q124" s="247">
        <f t="shared" ca="1" si="26"/>
        <v>0</v>
      </c>
      <c r="R124" s="262" t="s">
        <v>38</v>
      </c>
      <c r="S124" s="280" t="s">
        <v>1945</v>
      </c>
      <c r="T124" s="300">
        <v>3</v>
      </c>
      <c r="U124" s="270">
        <f>ROUND(T124/8,1)</f>
        <v>0.4</v>
      </c>
      <c r="V124" s="270">
        <f>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c r="A125" s="274" t="str">
        <f>E125&amp;G125</f>
        <v>modesg_out_emss_vclsorigem_scp2_emss</v>
      </c>
      <c r="B125" s="142" t="s">
        <v>26</v>
      </c>
      <c r="C125" s="138" t="s">
        <v>311</v>
      </c>
      <c r="D125" s="235" t="s">
        <v>40</v>
      </c>
      <c r="E125" s="236" t="s">
        <v>332</v>
      </c>
      <c r="F125" s="236"/>
      <c r="G125" s="235" t="s">
        <v>321</v>
      </c>
      <c r="H125" s="235" t="str">
        <f>VLOOKUP(A125,'2. Status Detalhe Campos'!$A$7:$G$574,7,0)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ca="1">IF(TODAY()&lt;=L125,0,MIN((TODAY()-L125)/(M125-L125+1),100%))</f>
        <v>1</v>
      </c>
      <c r="Q125" s="247">
        <f t="shared" ca="1" si="26"/>
        <v>0</v>
      </c>
      <c r="R125" s="262" t="s">
        <v>38</v>
      </c>
      <c r="S125" s="280" t="s">
        <v>1945</v>
      </c>
      <c r="T125" s="300">
        <v>3</v>
      </c>
      <c r="U125" s="270">
        <f>ROUND(T125/8,1)</f>
        <v>0.4</v>
      </c>
      <c r="V125" s="270">
        <f>SUM(W125:CI125)-U125</f>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c r="A126" s="274" t="str">
        <f>E126&amp;G126</f>
        <v>modesg_out_emss_vclsscp1_emss</v>
      </c>
      <c r="B126" s="142" t="s">
        <v>26</v>
      </c>
      <c r="C126" s="138" t="s">
        <v>311</v>
      </c>
      <c r="D126" s="235" t="s">
        <v>40</v>
      </c>
      <c r="E126" s="236" t="s">
        <v>332</v>
      </c>
      <c r="F126" s="236"/>
      <c r="G126" s="235" t="s">
        <v>286</v>
      </c>
      <c r="H126" s="235" t="str">
        <f>VLOOKUP(A126,'2. Status Detalhe Campos'!$A$7:$G$574,7,0)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ca="1">IF(TODAY()&lt;=L126,0,MIN((TODAY()-L126)/(M126-L126+1),100%))</f>
        <v>1</v>
      </c>
      <c r="Q126" s="247">
        <f t="shared" ca="1" si="26"/>
        <v>0</v>
      </c>
      <c r="R126" s="262" t="s">
        <v>38</v>
      </c>
      <c r="S126" s="280" t="s">
        <v>1945</v>
      </c>
      <c r="T126" s="270">
        <v>16.100000000000001</v>
      </c>
      <c r="U126" s="270">
        <v>1.9</v>
      </c>
      <c r="V126" s="270">
        <f>SUM(W126:CI126)-U126</f>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c r="A127" s="274" t="str">
        <f>E127&amp;G127</f>
        <v>modesg_out_emss_vclsscp2_emss</v>
      </c>
      <c r="B127" s="142" t="s">
        <v>26</v>
      </c>
      <c r="C127" s="138" t="s">
        <v>311</v>
      </c>
      <c r="D127" s="235" t="s">
        <v>40</v>
      </c>
      <c r="E127" s="236" t="s">
        <v>332</v>
      </c>
      <c r="F127" s="236"/>
      <c r="G127" s="235" t="s">
        <v>287</v>
      </c>
      <c r="H127" s="235" t="str">
        <f>VLOOKUP(A127,'2. Status Detalhe Campos'!$A$7:$G$574,7,0)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ca="1">IF(TODAY()&lt;=L127,0,MIN((TODAY()-L127)/(M127-L127+1),100%))</f>
        <v>1</v>
      </c>
      <c r="Q127" s="247">
        <f t="shared" ca="1" si="26"/>
        <v>0</v>
      </c>
      <c r="R127" s="262" t="s">
        <v>38</v>
      </c>
      <c r="S127" s="280" t="s">
        <v>1945</v>
      </c>
      <c r="T127" s="270">
        <v>16.100000000000001</v>
      </c>
      <c r="U127" s="270">
        <v>0.1</v>
      </c>
      <c r="V127" s="270">
        <f>SUM(W127:CI127)-U127</f>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c r="A128" s="274"/>
      <c r="B128" s="142" t="s">
        <v>26</v>
      </c>
      <c r="C128" s="138" t="s">
        <v>26</v>
      </c>
      <c r="D128" s="134"/>
      <c r="E128" s="375" t="s">
        <v>336</v>
      </c>
      <c r="F128" s="239" t="s">
        <v>2049</v>
      </c>
      <c r="G128" s="240">
        <f>COUNTA(G129:G130)</f>
        <v>2</v>
      </c>
      <c r="H128" s="295" t="s">
        <v>2005</v>
      </c>
      <c r="I128" s="278">
        <f>MAX(I129:I134)</f>
        <v>45589</v>
      </c>
      <c r="J128" s="277">
        <f>MIN(J129:J134)</f>
        <v>45596</v>
      </c>
      <c r="K128" s="278">
        <f>MIN(K129:K134)</f>
        <v>45596</v>
      </c>
      <c r="L128" s="277">
        <f>MIN(L129:L134)</f>
        <v>45623</v>
      </c>
      <c r="M128" s="278">
        <f>MAX(M129:M134)</f>
        <v>45667</v>
      </c>
      <c r="N128" s="323">
        <f t="array" ref="N128">MAX(IF(W128:CI128&gt;0,$W$16:$CI$16))</f>
        <v>45639</v>
      </c>
      <c r="O128" s="322">
        <f>SUMPRODUCT(O129:O130,U129:U130)/SUM(U129:U130)</f>
        <v>0.5</v>
      </c>
      <c r="P128" s="322">
        <f ca="1">SUMPRODUCT(P129:P130,U129:U130)/SUM(U129:U130)</f>
        <v>1</v>
      </c>
      <c r="Q128" s="256">
        <f t="shared" ref="Q128:Q137" ca="1" si="31">O128-P128</f>
        <v>-0.5</v>
      </c>
      <c r="R128" s="374" t="s">
        <v>2050</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hidden="1" outlineLevel="1">
      <c r="A129" s="274" t="str">
        <f>E129&amp;G129</f>
        <v>lt003_entitynace_esg</v>
      </c>
      <c r="B129" s="142" t="s">
        <v>26</v>
      </c>
      <c r="C129" s="138" t="s">
        <v>26</v>
      </c>
      <c r="D129" s="235" t="s">
        <v>40</v>
      </c>
      <c r="E129" s="238" t="s">
        <v>336</v>
      </c>
      <c r="F129" s="238"/>
      <c r="G129" s="238" t="s">
        <v>337</v>
      </c>
      <c r="H129" s="235" t="str">
        <f>VLOOKUP(A129,'2. Status Detalhe Campos'!$A$7:$G$574,7,0)</f>
        <v>3. Pendente de outros desenvolvimentos</v>
      </c>
      <c r="I129" s="276">
        <v>45583</v>
      </c>
      <c r="J129" s="301">
        <v>45596</v>
      </c>
      <c r="K129" s="285">
        <v>45596</v>
      </c>
      <c r="L129" s="290">
        <f t="array" ref="L129">MIN(IF(W129:CI129&gt;0,$W$16:$CI$16))</f>
        <v>45623</v>
      </c>
      <c r="M129" s="291">
        <f t="array" ref="M129">MAX(IF(W129:CI129&gt;0,$W$16:$CI$16))</f>
        <v>45623</v>
      </c>
      <c r="N129" s="291"/>
      <c r="O129" s="248">
        <f>VLOOKUP(H129,Auxiliar!$B$16:$E$24,4,0)</f>
        <v>0</v>
      </c>
      <c r="P129" s="248">
        <f t="shared" ref="P129:P135" ca="1" si="32">IF(TODAY()&lt;=L129,0,MIN((TODAY()-L129)/(M129-L129+1),100%))</f>
        <v>1</v>
      </c>
      <c r="Q129" s="247">
        <f t="shared" ca="1" si="31"/>
        <v>-1</v>
      </c>
      <c r="R129" s="261"/>
      <c r="S129" s="280"/>
      <c r="T129" s="270">
        <v>4.0999999999999996</v>
      </c>
      <c r="U129" s="270">
        <f>ROUND(T129/8,1)</f>
        <v>0.5</v>
      </c>
      <c r="V129" s="270">
        <f t="shared" ref="V129:V134" si="33">SUM(W129:CI129)-U129</f>
        <v>0</v>
      </c>
      <c r="W129" s="281"/>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v>0.5</v>
      </c>
      <c r="AW129" s="281"/>
      <c r="AX129" s="281"/>
      <c r="AY129" s="281"/>
      <c r="AZ129" s="281"/>
      <c r="BA129" s="281"/>
      <c r="BB129" s="281"/>
      <c r="BC129" s="281"/>
      <c r="BD129" s="281"/>
      <c r="BE129" s="281"/>
      <c r="BF129" s="281"/>
      <c r="BG129" s="281"/>
      <c r="BH129" s="281"/>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6.2" hidden="1" outlineLevel="1">
      <c r="A130" s="274" t="str">
        <f>E130&amp;G130</f>
        <v>lt003_entityflg_grp_nfrd_applcblty</v>
      </c>
      <c r="B130" s="142" t="s">
        <v>26</v>
      </c>
      <c r="C130" s="138" t="s">
        <v>26</v>
      </c>
      <c r="D130" s="235" t="s">
        <v>40</v>
      </c>
      <c r="E130" s="238" t="s">
        <v>336</v>
      </c>
      <c r="F130" s="238"/>
      <c r="G130" s="238" t="s">
        <v>365</v>
      </c>
      <c r="H130" s="235" t="str">
        <f>VLOOKUP(A130,'2. Status Detalhe Campos'!$A$7:$G$574,7,0)</f>
        <v>1. Concluído</v>
      </c>
      <c r="I130" s="285">
        <v>45588</v>
      </c>
      <c r="J130" s="301">
        <v>45596</v>
      </c>
      <c r="K130" s="285">
        <v>45596</v>
      </c>
      <c r="L130" s="290">
        <f t="array" ref="L130">MIN(IF(W130:CI130&gt;0,$W$16:$CI$16))</f>
        <v>45639</v>
      </c>
      <c r="M130" s="291">
        <f t="array" ref="M130">MAX(IF(W130:CI130&gt;0,$W$16:$CI$16))</f>
        <v>45639</v>
      </c>
      <c r="N130" s="291"/>
      <c r="O130" s="248">
        <f>VLOOKUP(H130,Auxiliar!$B$16:$E$24,4,0)</f>
        <v>1</v>
      </c>
      <c r="P130" s="248">
        <f t="shared" ca="1" si="32"/>
        <v>1</v>
      </c>
      <c r="Q130" s="247">
        <f t="shared" ca="1" si="31"/>
        <v>0</v>
      </c>
      <c r="R130" s="261"/>
      <c r="S130" s="280"/>
      <c r="T130" s="270">
        <v>4.0999999999999996</v>
      </c>
      <c r="U130" s="270">
        <f>ROUND(T130/8,1)</f>
        <v>0.5</v>
      </c>
      <c r="V130" s="270">
        <f t="shared" si="33"/>
        <v>0</v>
      </c>
      <c r="W130" s="289"/>
      <c r="X130" s="281"/>
      <c r="Y130" s="281"/>
      <c r="Z130" s="281"/>
      <c r="AA130" s="281"/>
      <c r="AB130" s="281"/>
      <c r="AC130" s="288"/>
      <c r="AD130" s="282"/>
      <c r="AE130" s="281"/>
      <c r="AF130" s="281"/>
      <c r="AG130" s="281"/>
      <c r="AH130" s="281"/>
      <c r="AI130" s="281"/>
      <c r="AJ130" s="281"/>
      <c r="AK130" s="281"/>
      <c r="AL130" s="281"/>
      <c r="AM130" s="281"/>
      <c r="AN130" s="281"/>
      <c r="AO130" s="283"/>
      <c r="AP130" s="281"/>
      <c r="AQ130" s="281"/>
      <c r="AR130" s="281"/>
      <c r="AS130" s="281"/>
      <c r="AT130" s="281"/>
      <c r="AU130" s="281"/>
      <c r="AV130" s="281"/>
      <c r="AW130" s="281"/>
      <c r="AX130" s="281"/>
      <c r="AY130" s="281"/>
      <c r="AZ130" s="281"/>
      <c r="BA130" s="281"/>
      <c r="BB130" s="281"/>
      <c r="BC130" s="281"/>
      <c r="BD130" s="281"/>
      <c r="BE130" s="281"/>
      <c r="BF130" s="281"/>
      <c r="BG130" s="281"/>
      <c r="BH130" s="281">
        <v>0.5</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c r="CH130" s="281"/>
      <c r="CI130" s="281"/>
    </row>
    <row r="131" spans="1:87" ht="15" customHeight="1" collapsed="1">
      <c r="A131" s="274"/>
      <c r="B131" s="142" t="s">
        <v>26</v>
      </c>
      <c r="C131" s="138" t="s">
        <v>26</v>
      </c>
      <c r="D131" s="134"/>
      <c r="E131" s="375" t="s">
        <v>336</v>
      </c>
      <c r="F131" s="239" t="s">
        <v>2049</v>
      </c>
      <c r="G131" s="240">
        <f>COUNTA(G132:G134)</f>
        <v>3</v>
      </c>
      <c r="H131" s="295" t="s">
        <v>2005</v>
      </c>
      <c r="I131" s="278">
        <f>MAX(I132:I138)</f>
        <v>45589</v>
      </c>
      <c r="J131" s="277">
        <f>MIN(J132:J138)</f>
        <v>45596</v>
      </c>
      <c r="K131" s="278">
        <f>MIN(K132:K138)</f>
        <v>45596</v>
      </c>
      <c r="L131" s="277">
        <f>MIN(L132:L138)</f>
        <v>45625</v>
      </c>
      <c r="M131" s="278">
        <f>MAX(M132:M138)</f>
        <v>45667</v>
      </c>
      <c r="N131" s="323">
        <f t="array" ref="N131">MAX(IF(W131:CI131&gt;0,$W$16:$CI$16))</f>
        <v>45646</v>
      </c>
      <c r="O131" s="322">
        <f>SUMPRODUCT(O132:O134,U132:U134)/SUM(U132:U134)</f>
        <v>0</v>
      </c>
      <c r="P131" s="322">
        <f ca="1">SUMPRODUCT(P132:P134,U132:U134)/SUM(U132:U134)</f>
        <v>1</v>
      </c>
      <c r="Q131" s="256">
        <f t="shared" ca="1" si="31"/>
        <v>-1</v>
      </c>
      <c r="R131" s="262" t="s">
        <v>2052</v>
      </c>
      <c r="S131" s="280"/>
      <c r="T131" s="270"/>
      <c r="U131" s="270"/>
      <c r="V131" s="270"/>
      <c r="W131" s="281"/>
      <c r="X131" s="281"/>
      <c r="Y131" s="281"/>
      <c r="Z131" s="281"/>
      <c r="AA131" s="281"/>
      <c r="AB131" s="281"/>
      <c r="AC131" s="288"/>
      <c r="AD131" s="282"/>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c r="BA131" s="281"/>
      <c r="BB131" s="281"/>
      <c r="BC131" s="281"/>
      <c r="BD131" s="281"/>
      <c r="BE131" s="281"/>
      <c r="BF131" s="281"/>
      <c r="BG131" s="281"/>
      <c r="BH131" s="284" t="s">
        <v>444</v>
      </c>
      <c r="BI131" s="281"/>
      <c r="BJ131" s="281"/>
      <c r="BK131" s="281"/>
      <c r="BL131" s="281"/>
      <c r="BM131" s="284" t="s">
        <v>444</v>
      </c>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6.2" hidden="1" outlineLevel="1">
      <c r="A132" s="274" t="str">
        <f>E132&amp;G132</f>
        <v>lt003_entitygrp_emssns_scp1</v>
      </c>
      <c r="B132" s="142" t="s">
        <v>26</v>
      </c>
      <c r="C132" s="138" t="s">
        <v>26</v>
      </c>
      <c r="D132" s="235" t="s">
        <v>40</v>
      </c>
      <c r="E132" s="238" t="s">
        <v>336</v>
      </c>
      <c r="F132" s="238"/>
      <c r="G132" s="238" t="s">
        <v>366</v>
      </c>
      <c r="H132" s="235" t="str">
        <f>VLOOKUP(A132,'2. Status Detalhe Campos'!$A$7:$G$574,7,0)</f>
        <v>3. Pendente de outros desenvolvimentos</v>
      </c>
      <c r="I132" s="285">
        <v>45588</v>
      </c>
      <c r="J132" s="301">
        <v>45596</v>
      </c>
      <c r="K132" s="285">
        <v>45596</v>
      </c>
      <c r="L132" s="290">
        <f t="array" ref="L132">MIN(IF(W132:CI132&gt;0,$W$16:$CI$16))</f>
        <v>45639</v>
      </c>
      <c r="M132" s="291">
        <f t="array" ref="M132">MAX(IF(W132:CI132&gt;0,$W$16:$CI$16))</f>
        <v>45639</v>
      </c>
      <c r="N132" s="291"/>
      <c r="O132" s="248">
        <f>VLOOKUP(H132,Auxiliar!$B$16:$E$24,4,0)</f>
        <v>0</v>
      </c>
      <c r="P132" s="248">
        <f ca="1">IF(TODAY()&lt;=L132,0,MIN((TODAY()-L132)/(M132-L132+1),100%))</f>
        <v>1</v>
      </c>
      <c r="Q132" s="247">
        <f t="shared" ca="1" si="31"/>
        <v>-1</v>
      </c>
      <c r="R132" s="374" t="s">
        <v>2058</v>
      </c>
      <c r="S132" s="280"/>
      <c r="T132" s="270">
        <v>4.0999999999999996</v>
      </c>
      <c r="U132" s="270">
        <f>ROUND(T132/8,1)</f>
        <v>0.5</v>
      </c>
      <c r="V132" s="270">
        <f>SUM(W132:CI132)-U132</f>
        <v>0</v>
      </c>
      <c r="W132" s="289"/>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3"/>
      <c r="AV132" s="281"/>
      <c r="AW132" s="281"/>
      <c r="AX132" s="281"/>
      <c r="AY132" s="281"/>
      <c r="AZ132" s="281"/>
      <c r="BA132" s="281"/>
      <c r="BB132" s="281"/>
      <c r="BC132" s="281"/>
      <c r="BD132" s="281"/>
      <c r="BE132" s="281"/>
      <c r="BF132" s="281"/>
      <c r="BG132" s="281"/>
      <c r="BH132" s="281">
        <v>0.5</v>
      </c>
      <c r="BI132" s="281"/>
      <c r="BJ132" s="281"/>
      <c r="BK132" s="281"/>
      <c r="BL132" s="281"/>
      <c r="BM132" s="281"/>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c r="CH132" s="281"/>
      <c r="CI132" s="281"/>
    </row>
    <row r="133" spans="1:87" ht="16.2" hidden="1" outlineLevel="1">
      <c r="A133" s="274" t="str">
        <f>E133&amp;G133</f>
        <v>lt003_entitygrp_emssns_scp2</v>
      </c>
      <c r="B133" s="142" t="s">
        <v>26</v>
      </c>
      <c r="C133" s="138" t="s">
        <v>26</v>
      </c>
      <c r="D133" s="235" t="s">
        <v>40</v>
      </c>
      <c r="E133" s="238" t="s">
        <v>336</v>
      </c>
      <c r="F133" s="238"/>
      <c r="G133" s="238" t="s">
        <v>367</v>
      </c>
      <c r="H133" s="235" t="str">
        <f>VLOOKUP(A133,'2. Status Detalhe Campos'!$A$7:$G$574,7,0)</f>
        <v>3. Pendente de outros desenvolvimentos</v>
      </c>
      <c r="I133" s="285">
        <v>45588</v>
      </c>
      <c r="J133" s="301">
        <v>45596</v>
      </c>
      <c r="K133" s="285">
        <v>45596</v>
      </c>
      <c r="L133" s="290">
        <f t="array" ref="L133">MIN(IF(W133:CI133&gt;0,$W$16:$CI$16))</f>
        <v>45639</v>
      </c>
      <c r="M133" s="291">
        <f t="array" ref="M133">MAX(IF(W133:CI133&gt;0,$W$16:$CI$16))</f>
        <v>45639</v>
      </c>
      <c r="N133" s="291"/>
      <c r="O133" s="248">
        <f>VLOOKUP(H133,Auxiliar!$B$16:$E$24,4,0)</f>
        <v>0</v>
      </c>
      <c r="P133" s="248">
        <f ca="1">IF(TODAY()&lt;=L133,0,MIN((TODAY()-L133)/(M133-L133+1),100%))</f>
        <v>1</v>
      </c>
      <c r="Q133" s="247">
        <f t="shared" ca="1" si="31"/>
        <v>-1</v>
      </c>
      <c r="R133" s="261"/>
      <c r="S133" s="280"/>
      <c r="T133" s="270">
        <v>4.0999999999999996</v>
      </c>
      <c r="U133" s="270">
        <f>ROUND(T133/8,1)</f>
        <v>0.5</v>
      </c>
      <c r="V133" s="270">
        <f>SUM(W133:CI133)-U133</f>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6.2" hidden="1" outlineLevel="1">
      <c r="A134" s="274" t="str">
        <f>E134&amp;G134</f>
        <v>lt003_entitygrp_emssns_scp3</v>
      </c>
      <c r="B134" s="142" t="s">
        <v>26</v>
      </c>
      <c r="C134" s="138" t="s">
        <v>26</v>
      </c>
      <c r="D134" s="235" t="s">
        <v>40</v>
      </c>
      <c r="E134" s="238" t="s">
        <v>336</v>
      </c>
      <c r="F134" s="238"/>
      <c r="G134" s="238" t="s">
        <v>368</v>
      </c>
      <c r="H134" s="235" t="str">
        <f>VLOOKUP(A134,'2. Status Detalhe Campos'!$A$7:$G$574,7,0)</f>
        <v>3. Pendente de outros desenvolvimentos</v>
      </c>
      <c r="I134" s="285">
        <v>45588</v>
      </c>
      <c r="J134" s="301">
        <v>45596</v>
      </c>
      <c r="K134" s="285">
        <v>45596</v>
      </c>
      <c r="L134" s="290">
        <f t="array" ref="L134">MIN(IF(W134:CI134&gt;0,$W$16:$CI$16))</f>
        <v>45639</v>
      </c>
      <c r="M134" s="291">
        <f t="array" ref="M134">MAX(IF(W134:CI134&gt;0,$W$16:$CI$16))</f>
        <v>45639</v>
      </c>
      <c r="N134" s="291"/>
      <c r="O134" s="248">
        <f>VLOOKUP(H134,Auxiliar!$B$16:$E$24,4,0)</f>
        <v>0</v>
      </c>
      <c r="P134" s="248">
        <f t="shared" ca="1" si="32"/>
        <v>1</v>
      </c>
      <c r="Q134" s="247">
        <f t="shared" ca="1" si="31"/>
        <v>-1</v>
      </c>
      <c r="R134" s="261"/>
      <c r="S134" s="280"/>
      <c r="T134" s="270">
        <v>4.0999999999999996</v>
      </c>
      <c r="U134" s="270">
        <f>ROUND(T134/8,1)</f>
        <v>0.5</v>
      </c>
      <c r="V134" s="270">
        <f t="shared" si="33"/>
        <v>0</v>
      </c>
      <c r="W134" s="289"/>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3"/>
      <c r="AV134" s="281"/>
      <c r="AW134" s="281"/>
      <c r="AX134" s="281"/>
      <c r="AY134" s="281"/>
      <c r="AZ134" s="281"/>
      <c r="BA134" s="281"/>
      <c r="BB134" s="281"/>
      <c r="BC134" s="281"/>
      <c r="BD134" s="281"/>
      <c r="BE134" s="281"/>
      <c r="BF134" s="281"/>
      <c r="BG134" s="281"/>
      <c r="BH134" s="281">
        <v>0.5</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5" customHeight="1" collapsed="1">
      <c r="A135" s="274"/>
      <c r="B135" s="142" t="s">
        <v>26</v>
      </c>
      <c r="C135" s="138" t="s">
        <v>26</v>
      </c>
      <c r="D135" s="134"/>
      <c r="E135" s="375" t="s">
        <v>336</v>
      </c>
      <c r="F135" s="239" t="s">
        <v>2023</v>
      </c>
      <c r="G135" s="240">
        <f>COUNTA(G136:G137)</f>
        <v>2</v>
      </c>
      <c r="H135" s="295" t="s">
        <v>2005</v>
      </c>
      <c r="I135" s="278">
        <f>MAX(I136:I137)</f>
        <v>45589</v>
      </c>
      <c r="J135" s="277">
        <f>MIN(J136:J137)</f>
        <v>45596</v>
      </c>
      <c r="K135" s="278">
        <f>MIN(K136:K137)</f>
        <v>45596</v>
      </c>
      <c r="L135" s="277">
        <f>MIN(L136:L137)</f>
        <v>45639</v>
      </c>
      <c r="M135" s="278">
        <f>MAX(M136:M137)</f>
        <v>45639</v>
      </c>
      <c r="N135" s="323">
        <f t="array" ref="N135">MAX(IF(W135:CI135&gt;0,$W$16:$CI$16))</f>
        <v>45639</v>
      </c>
      <c r="O135" s="322">
        <f>SUMPRODUCT(O136:O137,U136:U137)/SUM(U136:U137)</f>
        <v>1</v>
      </c>
      <c r="P135" s="322">
        <f t="shared" ca="1" si="32"/>
        <v>1</v>
      </c>
      <c r="Q135" s="256">
        <f t="shared" ca="1" si="31"/>
        <v>0</v>
      </c>
      <c r="R135" s="374" t="s">
        <v>2050</v>
      </c>
      <c r="S135" s="280"/>
      <c r="T135" s="270"/>
      <c r="U135" s="270"/>
      <c r="V135" s="270"/>
      <c r="W135" s="281"/>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c r="BA135" s="281"/>
      <c r="BB135" s="281"/>
      <c r="BC135" s="281"/>
      <c r="BD135" s="281"/>
      <c r="BE135" s="281"/>
      <c r="BF135" s="281"/>
      <c r="BG135" s="281"/>
      <c r="BH135" s="284" t="s">
        <v>444</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6.2" hidden="1" outlineLevel="1">
      <c r="A136" s="274" t="str">
        <f>E136&amp;G136</f>
        <v>lt003_entityflg_act_physcl_rsk</v>
      </c>
      <c r="B136" s="142" t="s">
        <v>26</v>
      </c>
      <c r="C136" s="138" t="s">
        <v>26</v>
      </c>
      <c r="D136" s="235" t="s">
        <v>40</v>
      </c>
      <c r="E136" s="238" t="s">
        <v>336</v>
      </c>
      <c r="F136" s="238"/>
      <c r="G136" s="238" t="s">
        <v>358</v>
      </c>
      <c r="H136" s="235" t="str">
        <f>VLOOKUP(A136,'2. Status Detalhe Campos'!$A$7:$G$574,7,0)</f>
        <v>1. Concluído</v>
      </c>
      <c r="I136" s="276">
        <v>45589</v>
      </c>
      <c r="J136" s="301">
        <v>45596</v>
      </c>
      <c r="K136" s="285">
        <v>45596</v>
      </c>
      <c r="L136" s="290">
        <f t="array" ref="L136">MIN(IF(W136:CI136&gt;0,$W$16:$CI$16))</f>
        <v>45639</v>
      </c>
      <c r="M136" s="291">
        <f t="array" ref="M136">MAX(IF(W136:CI136&gt;0,$W$16:$CI$16))</f>
        <v>45639</v>
      </c>
      <c r="N136" s="291"/>
      <c r="O136" s="248">
        <f>VLOOKUP(H136,Auxiliar!$B$16:$E$24,4,0)</f>
        <v>1</v>
      </c>
      <c r="P136" s="248">
        <f ca="1">IF(TODAY()&lt;=L136,0,MIN((TODAY()-L136)/(M136-L136+1),100%))</f>
        <v>1</v>
      </c>
      <c r="Q136" s="247">
        <f t="shared" ca="1" si="31"/>
        <v>0</v>
      </c>
      <c r="R136" s="261"/>
      <c r="S136" s="280"/>
      <c r="T136" s="270">
        <v>4.0999999999999996</v>
      </c>
      <c r="U136" s="270">
        <f>ROUND(T136/8,1)</f>
        <v>0.5</v>
      </c>
      <c r="V136" s="270">
        <f>SUM(W136:CI136)-U136</f>
        <v>0</v>
      </c>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3"/>
      <c r="AX136" s="281"/>
      <c r="AY136" s="281"/>
      <c r="AZ136" s="281"/>
      <c r="BA136" s="281"/>
      <c r="BB136" s="281"/>
      <c r="BC136" s="281"/>
      <c r="BD136" s="281"/>
      <c r="BE136" s="281"/>
      <c r="BF136" s="281"/>
      <c r="BG136" s="281"/>
      <c r="BH136" s="281">
        <v>0.5</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6.2" hidden="1" outlineLevel="1">
      <c r="A137" s="274" t="str">
        <f>E137&amp;G137</f>
        <v>lt003_entityflg_chrnc_physcl_rsk</v>
      </c>
      <c r="B137" s="142" t="s">
        <v>26</v>
      </c>
      <c r="C137" s="138" t="s">
        <v>26</v>
      </c>
      <c r="D137" s="235" t="s">
        <v>40</v>
      </c>
      <c r="E137" s="238" t="s">
        <v>336</v>
      </c>
      <c r="F137" s="238"/>
      <c r="G137" s="238" t="s">
        <v>359</v>
      </c>
      <c r="H137" s="235" t="str">
        <f>VLOOKUP(A137,'2. Status Detalhe Campos'!$A$7:$G$574,7,0)</f>
        <v>1. Concluído</v>
      </c>
      <c r="I137" s="276">
        <v>45589</v>
      </c>
      <c r="J137" s="301">
        <v>45596</v>
      </c>
      <c r="K137" s="285">
        <v>45596</v>
      </c>
      <c r="L137" s="290">
        <f t="array" ref="L137">MIN(IF(W137:CI137&gt;0,$W$16:$CI$16))</f>
        <v>45639</v>
      </c>
      <c r="M137" s="291">
        <f t="array" ref="M137">MAX(IF(W137:CI137&gt;0,$W$16:$CI$16))</f>
        <v>45639</v>
      </c>
      <c r="N137" s="291"/>
      <c r="O137" s="248">
        <f>VLOOKUP(H137,Auxiliar!$B$16:$E$24,4,0)</f>
        <v>1</v>
      </c>
      <c r="P137" s="248">
        <f ca="1">IF(TODAY()&lt;=L137,0,MIN((TODAY()-L137)/(M137-L137+1),100%))</f>
        <v>1</v>
      </c>
      <c r="Q137" s="247">
        <f t="shared" ca="1" si="31"/>
        <v>0</v>
      </c>
      <c r="R137" s="261"/>
      <c r="S137" s="280"/>
      <c r="T137" s="270">
        <v>4.0999999999999996</v>
      </c>
      <c r="U137" s="270">
        <f>ROUND(T137/8,1)</f>
        <v>0.5</v>
      </c>
      <c r="V137" s="270">
        <f>SUM(W137:CI137)-U137</f>
        <v>0</v>
      </c>
      <c r="W137" s="281"/>
      <c r="X137" s="281"/>
      <c r="Y137" s="281"/>
      <c r="Z137" s="281"/>
      <c r="AA137" s="281"/>
      <c r="AB137" s="281"/>
      <c r="AC137" s="288"/>
      <c r="AD137" s="282"/>
      <c r="AE137" s="281"/>
      <c r="AF137" s="281"/>
      <c r="AG137" s="281"/>
      <c r="AH137" s="281"/>
      <c r="AI137" s="281"/>
      <c r="AJ137" s="281"/>
      <c r="AK137" s="281"/>
      <c r="AL137" s="281"/>
      <c r="AM137" s="281"/>
      <c r="AN137" s="281"/>
      <c r="AO137" s="281"/>
      <c r="AP137" s="281"/>
      <c r="AQ137" s="281"/>
      <c r="AR137" s="281"/>
      <c r="AS137" s="281"/>
      <c r="AT137" s="281"/>
      <c r="AU137" s="281"/>
      <c r="AV137" s="281"/>
      <c r="AW137" s="283"/>
      <c r="AX137" s="281"/>
      <c r="AY137" s="281"/>
      <c r="AZ137" s="281"/>
      <c r="BA137" s="281"/>
      <c r="BB137" s="281"/>
      <c r="BC137" s="281"/>
      <c r="BD137" s="281"/>
      <c r="BE137" s="281"/>
      <c r="BF137" s="281"/>
      <c r="BG137" s="281"/>
      <c r="BH137" s="281">
        <v>0.5</v>
      </c>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c r="CH137" s="281"/>
      <c r="CI137" s="281"/>
    </row>
    <row r="138" spans="1:87" ht="15" customHeight="1" collapsed="1">
      <c r="A138" s="274"/>
      <c r="B138" s="142" t="s">
        <v>26</v>
      </c>
      <c r="C138" s="138" t="s">
        <v>311</v>
      </c>
      <c r="D138" s="134"/>
      <c r="E138" s="379" t="s">
        <v>326</v>
      </c>
      <c r="F138" s="239" t="s">
        <v>1972</v>
      </c>
      <c r="G138" s="240">
        <f>COUNTA(G139)</f>
        <v>1</v>
      </c>
      <c r="H138" s="295" t="s">
        <v>2005</v>
      </c>
      <c r="I138" s="276" t="s">
        <v>38</v>
      </c>
      <c r="J138" s="277">
        <f>MIN(J139:J145)</f>
        <v>45614</v>
      </c>
      <c r="K138" s="277">
        <f>MIN(K139:K156)</f>
        <v>45596</v>
      </c>
      <c r="L138" s="277">
        <f>MIN(L139:L156)</f>
        <v>45625</v>
      </c>
      <c r="M138" s="278">
        <f>MAX(M139:M156)</f>
        <v>45667</v>
      </c>
      <c r="N138" s="323">
        <f t="array" ref="N138">MAX(IF(W138:CI138&gt;0,$W$16:$CI$16))</f>
        <v>45646</v>
      </c>
      <c r="O138" s="322">
        <f>O139</f>
        <v>0</v>
      </c>
      <c r="P138" s="322">
        <f ca="1">P139</f>
        <v>1</v>
      </c>
      <c r="Q138" s="256">
        <f t="shared" ref="Q138:Q164" ca="1" si="34">O138-P138</f>
        <v>-1</v>
      </c>
      <c r="R138" s="374" t="s">
        <v>2057</v>
      </c>
      <c r="S138" s="280"/>
      <c r="T138" s="270"/>
      <c r="U138" s="270"/>
      <c r="V138" s="270"/>
      <c r="W138" s="281"/>
      <c r="X138" s="281"/>
      <c r="Y138" s="281"/>
      <c r="Z138" s="281"/>
      <c r="AA138" s="281"/>
      <c r="AB138" s="281"/>
      <c r="AC138" s="281"/>
      <c r="AD138" s="282"/>
      <c r="AE138" s="281"/>
      <c r="AF138" s="281"/>
      <c r="AG138" s="281"/>
      <c r="AH138" s="281"/>
      <c r="AI138" s="281"/>
      <c r="AJ138" s="281"/>
      <c r="AK138" s="281"/>
      <c r="AL138" s="281"/>
      <c r="AM138" s="281"/>
      <c r="AN138" s="281"/>
      <c r="AO138" s="283"/>
      <c r="AP138" s="288"/>
      <c r="AQ138" s="281"/>
      <c r="AR138" s="281"/>
      <c r="AS138" s="281"/>
      <c r="AT138" s="281"/>
      <c r="AU138" s="281"/>
      <c r="AV138" s="281"/>
      <c r="AW138" s="281"/>
      <c r="AX138" s="281"/>
      <c r="AY138" s="281"/>
      <c r="AZ138" s="281"/>
      <c r="BA138" s="281"/>
      <c r="BB138" s="281"/>
      <c r="BC138" s="281"/>
      <c r="BD138" s="281"/>
      <c r="BE138" s="281"/>
      <c r="BF138" s="281"/>
      <c r="BG138" s="281"/>
      <c r="BH138" s="281"/>
      <c r="BI138" s="281"/>
      <c r="BJ138" s="281"/>
      <c r="BK138" s="281"/>
      <c r="BL138" s="281"/>
      <c r="BM138" s="281" t="s">
        <v>444</v>
      </c>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c r="CH138" s="281"/>
      <c r="CI138" s="281"/>
    </row>
    <row r="139" spans="1:87" ht="16.2" hidden="1" outlineLevel="1">
      <c r="A139" s="274" t="str">
        <f t="shared" ref="A139:A145" si="35">E139&amp;G139</f>
        <v>modesg_out_empr_info_nfincod_nace_esg</v>
      </c>
      <c r="B139" s="142" t="s">
        <v>26</v>
      </c>
      <c r="C139" s="138" t="s">
        <v>311</v>
      </c>
      <c r="D139" s="235" t="s">
        <v>40</v>
      </c>
      <c r="E139" s="236" t="s">
        <v>326</v>
      </c>
      <c r="F139" s="236"/>
      <c r="G139" s="237" t="s">
        <v>282</v>
      </c>
      <c r="H139" s="235" t="str">
        <f>VLOOKUP(A139,'2. Status Detalhe Campos'!$A$7:$G$574,7,0)</f>
        <v>2.2 Em Re-especificação</v>
      </c>
      <c r="I139" s="276" t="s">
        <v>38</v>
      </c>
      <c r="J139" s="285">
        <v>45614</v>
      </c>
      <c r="K139" s="285">
        <v>45615</v>
      </c>
      <c r="L139" s="290">
        <f t="array" ref="L139">MIN(IF(W139:CI139&gt;0,$W$16:$CI$16))</f>
        <v>45646</v>
      </c>
      <c r="M139" s="291">
        <f t="array" ref="M139">MAX(IF(W139:CI139&gt;0,$W$16:$CI$16))</f>
        <v>45646</v>
      </c>
      <c r="N139" s="291"/>
      <c r="O139" s="248">
        <f>VLOOKUP(H139,Auxiliar!$B$16:$E$24,4,0)</f>
        <v>0</v>
      </c>
      <c r="P139" s="248">
        <f t="shared" ref="P139:P145" ca="1" si="36">IF(TODAY()&lt;=L139,0,MIN((TODAY()-L139)/(M139-L139+1),100%))</f>
        <v>1</v>
      </c>
      <c r="Q139" s="247">
        <f t="shared" ca="1" si="34"/>
        <v>-1</v>
      </c>
      <c r="R139" s="262" t="s">
        <v>38</v>
      </c>
      <c r="S139" s="280"/>
      <c r="T139" s="270">
        <v>16.100000000000001</v>
      </c>
      <c r="U139" s="270">
        <f t="shared" ref="U139:U145" si="37">ROUND(T139/8,1)</f>
        <v>2</v>
      </c>
      <c r="V139" s="270">
        <f t="shared" ref="V139:V145" si="38">SUM(W139:CI139)-U139</f>
        <v>-2</v>
      </c>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t="s">
        <v>444</v>
      </c>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c r="CH139" s="281"/>
      <c r="CI139" s="281"/>
    </row>
    <row r="140" spans="1:87" ht="15" customHeight="1" collapsed="1">
      <c r="A140" s="274"/>
      <c r="B140" s="142" t="s">
        <v>26</v>
      </c>
      <c r="C140" s="138" t="s">
        <v>311</v>
      </c>
      <c r="D140" s="134"/>
      <c r="E140" s="379" t="s">
        <v>326</v>
      </c>
      <c r="F140" s="239" t="s">
        <v>1996</v>
      </c>
      <c r="G140" s="240">
        <f>COUNTA(G141:G145)</f>
        <v>5</v>
      </c>
      <c r="H140" s="275" t="s">
        <v>2009</v>
      </c>
      <c r="I140" s="276" t="s">
        <v>38</v>
      </c>
      <c r="J140" s="277">
        <f>MIN(J141:J147)</f>
        <v>45614</v>
      </c>
      <c r="K140" s="277">
        <f>MIN(K141:K158)</f>
        <v>45596</v>
      </c>
      <c r="L140" s="277">
        <f>MIN(L141:L158)</f>
        <v>45625</v>
      </c>
      <c r="M140" s="278">
        <f>MAX(M141:M158)</f>
        <v>45667</v>
      </c>
      <c r="N140" s="323">
        <f t="array" ref="N140">MAX(IF(W140:CI140&gt;0,$W$16:$CI$16))</f>
        <v>45667</v>
      </c>
      <c r="O140" s="314">
        <f>SUMPRODUCT(O141:O145,U141:U145)/SUM(U141:U145)</f>
        <v>0.4642857142857143</v>
      </c>
      <c r="P140" s="314">
        <f ca="1">SUMPRODUCT(P141:P145,U141:U145)/SUM(U141:U145)</f>
        <v>1</v>
      </c>
      <c r="Q140" s="256">
        <f ca="1">O140-P140</f>
        <v>-0.5357142857142857</v>
      </c>
      <c r="R140" s="262" t="s">
        <v>2064</v>
      </c>
      <c r="S140" s="280"/>
      <c r="T140" s="270"/>
      <c r="U140" s="270"/>
      <c r="V140" s="270"/>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c r="BN140" s="281"/>
      <c r="BO140" s="282"/>
      <c r="BP140" s="282"/>
      <c r="BQ140" s="282"/>
      <c r="BR140" s="282"/>
      <c r="BS140" s="282"/>
      <c r="BT140" s="282"/>
      <c r="BU140" s="282"/>
      <c r="BV140" s="281"/>
      <c r="BW140" s="281"/>
      <c r="BX140" s="281"/>
      <c r="BY140" s="281"/>
      <c r="BZ140" s="281"/>
      <c r="CA140" s="281"/>
      <c r="CB140" s="281" t="s">
        <v>444</v>
      </c>
      <c r="CC140" s="281"/>
      <c r="CD140" s="281"/>
      <c r="CE140" s="281"/>
      <c r="CF140" s="281"/>
      <c r="CG140" s="281"/>
      <c r="CH140" s="281"/>
      <c r="CI140" s="281"/>
    </row>
    <row r="141" spans="1:87" ht="16.2" hidden="1" outlineLevel="1">
      <c r="A141" s="274" t="str">
        <f t="shared" si="35"/>
        <v>modesg_out_empr_info_nfinflg_emprs_excl_paris</v>
      </c>
      <c r="B141" s="142" t="s">
        <v>26</v>
      </c>
      <c r="C141" s="138" t="s">
        <v>311</v>
      </c>
      <c r="D141" s="235" t="s">
        <v>40</v>
      </c>
      <c r="E141" s="236" t="s">
        <v>326</v>
      </c>
      <c r="F141" s="236"/>
      <c r="G141" s="235" t="s">
        <v>328</v>
      </c>
      <c r="H141" s="235" t="str">
        <f>VLOOKUP(A141,'2. Status Detalhe Campos'!$A$7:$G$574,7,0)</f>
        <v>2.1 Em Teste</v>
      </c>
      <c r="I141" s="276" t="s">
        <v>38</v>
      </c>
      <c r="J141" s="285">
        <v>45614</v>
      </c>
      <c r="K141" s="285">
        <v>45615</v>
      </c>
      <c r="L141" s="290">
        <f t="array" ref="L141">MIN(IF(W141:CI141&gt;0,$W$16:$CI$16))</f>
        <v>45646</v>
      </c>
      <c r="M141" s="291">
        <f t="array" ref="M141">MAX(IF(W141:CI141&gt;0,$W$16:$CI$16))</f>
        <v>45646</v>
      </c>
      <c r="N141" s="291"/>
      <c r="O141" s="248">
        <f>VLOOKUP(H141,Auxiliar!$B$16:$E$24,4,0)</f>
        <v>0.25</v>
      </c>
      <c r="P141" s="248">
        <f t="shared" ca="1" si="36"/>
        <v>1</v>
      </c>
      <c r="Q141" s="247">
        <f t="shared" ca="1" si="34"/>
        <v>-0.75</v>
      </c>
      <c r="R141" s="262" t="s">
        <v>38</v>
      </c>
      <c r="S141" s="280"/>
      <c r="T141" s="270">
        <v>8.1</v>
      </c>
      <c r="U141" s="270">
        <f t="shared" si="37"/>
        <v>1</v>
      </c>
      <c r="V141" s="270">
        <f t="shared" si="38"/>
        <v>-1</v>
      </c>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t="s">
        <v>444</v>
      </c>
      <c r="BN141" s="281"/>
      <c r="BO141" s="282"/>
      <c r="BP141" s="282"/>
      <c r="BQ141" s="282"/>
      <c r="BR141" s="282"/>
      <c r="BS141" s="282"/>
      <c r="BT141" s="282"/>
      <c r="BU141" s="282"/>
      <c r="BV141" s="281"/>
      <c r="BW141" s="281"/>
      <c r="BX141" s="281"/>
      <c r="BY141" s="281"/>
      <c r="BZ141" s="281"/>
      <c r="CA141" s="281"/>
      <c r="CC141" s="281"/>
      <c r="CD141" s="281"/>
      <c r="CE141" s="281"/>
      <c r="CF141" s="281"/>
      <c r="CG141" s="281"/>
      <c r="CH141" s="281"/>
      <c r="CI141" s="281"/>
    </row>
    <row r="142" spans="1:87" ht="16.2" hidden="1" outlineLevel="1">
      <c r="A142" s="274" t="str">
        <f t="shared" si="35"/>
        <v>modesg_out_empr_info_nfinflg_nfrd</v>
      </c>
      <c r="B142" s="142" t="s">
        <v>26</v>
      </c>
      <c r="C142" s="138" t="s">
        <v>311</v>
      </c>
      <c r="D142" s="235" t="s">
        <v>40</v>
      </c>
      <c r="E142" s="236" t="s">
        <v>326</v>
      </c>
      <c r="F142" s="236"/>
      <c r="G142" s="235" t="s">
        <v>245</v>
      </c>
      <c r="H142" s="235" t="str">
        <f>VLOOKUP(A142,'2. Status Detalhe Campos'!$A$7:$G$574,7,0)</f>
        <v>2.1 Em Teste</v>
      </c>
      <c r="I142" s="276" t="s">
        <v>38</v>
      </c>
      <c r="J142" s="285">
        <v>45614</v>
      </c>
      <c r="K142" s="285">
        <v>45615</v>
      </c>
      <c r="L142" s="290">
        <f t="array" ref="L142">MIN(IF(W142:CI142&gt;0,$W$16:$CI$16))</f>
        <v>45667</v>
      </c>
      <c r="M142" s="291">
        <f t="array" ref="M142">MAX(IF(W142:CI142&gt;0,$W$16:$CI$16))</f>
        <v>45667</v>
      </c>
      <c r="N142" s="291"/>
      <c r="O142" s="248">
        <f>VLOOKUP(H142,Auxiliar!$B$16:$E$24,4,0)</f>
        <v>0.25</v>
      </c>
      <c r="P142" s="248">
        <f t="shared" ca="1" si="36"/>
        <v>1</v>
      </c>
      <c r="Q142" s="247">
        <f t="shared" ca="1" si="34"/>
        <v>-0.75</v>
      </c>
      <c r="R142" s="262" t="s">
        <v>38</v>
      </c>
      <c r="S142" s="280"/>
      <c r="T142" s="270">
        <v>8.1</v>
      </c>
      <c r="U142" s="270">
        <f t="shared" si="37"/>
        <v>1</v>
      </c>
      <c r="V142" s="270">
        <f t="shared" si="38"/>
        <v>-1</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t="s">
        <v>444</v>
      </c>
      <c r="CC142" s="281"/>
      <c r="CD142" s="281"/>
      <c r="CE142" s="281"/>
      <c r="CF142" s="281"/>
      <c r="CG142" s="281"/>
      <c r="CH142" s="281"/>
      <c r="CI142" s="281"/>
    </row>
    <row r="143" spans="1:87" ht="16.2" hidden="1" outlineLevel="1">
      <c r="A143" s="274" t="str">
        <f t="shared" si="35"/>
        <v>modesg_out_empr_info_nfinorigem_alinhamentos</v>
      </c>
      <c r="B143" s="142" t="s">
        <v>26</v>
      </c>
      <c r="C143" s="138" t="s">
        <v>311</v>
      </c>
      <c r="D143" s="235" t="s">
        <v>40</v>
      </c>
      <c r="E143" s="236" t="s">
        <v>326</v>
      </c>
      <c r="F143" s="236"/>
      <c r="G143" s="235" t="s">
        <v>329</v>
      </c>
      <c r="H143" s="235" t="str">
        <f>VLOOKUP(A143,'2. Status Detalhe Campos'!$A$7:$G$574,7,0)</f>
        <v>1. Concluído</v>
      </c>
      <c r="I143" s="276" t="s">
        <v>38</v>
      </c>
      <c r="J143" s="285">
        <v>45614</v>
      </c>
      <c r="K143" s="285">
        <v>45615</v>
      </c>
      <c r="L143" s="290">
        <f t="array" ref="L143">MIN(IF(W143:CI143&gt;0,$W$16:$CI$16))</f>
        <v>45667</v>
      </c>
      <c r="M143" s="291">
        <f t="array" ref="M143">MAX(IF(W143:CI143&gt;0,$W$16:$CI$16))</f>
        <v>45667</v>
      </c>
      <c r="N143" s="291"/>
      <c r="O143" s="248">
        <f>VLOOKUP(H143,Auxiliar!$B$16:$E$24,4,0)</f>
        <v>1</v>
      </c>
      <c r="P143" s="248">
        <f t="shared" ca="1" si="36"/>
        <v>1</v>
      </c>
      <c r="Q143" s="247">
        <f t="shared" ca="1" si="34"/>
        <v>0</v>
      </c>
      <c r="R143" s="262" t="s">
        <v>38</v>
      </c>
      <c r="S143" s="280"/>
      <c r="T143" s="270">
        <v>4.0999999999999996</v>
      </c>
      <c r="U143" s="270">
        <f t="shared" si="37"/>
        <v>0.5</v>
      </c>
      <c r="V143" s="270">
        <f t="shared" si="38"/>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t="s">
        <v>444</v>
      </c>
      <c r="CC143" s="281"/>
      <c r="CD143" s="281"/>
      <c r="CE143" s="281"/>
      <c r="CF143" s="281"/>
      <c r="CG143" s="281"/>
      <c r="CH143" s="281"/>
      <c r="CI143" s="281"/>
    </row>
    <row r="144" spans="1:87" ht="16.2" hidden="1" outlineLevel="1">
      <c r="A144" s="274" t="str">
        <f t="shared" si="35"/>
        <v>modesg_out_empr_info_nfinorigem_flg_emprs_excl_paris</v>
      </c>
      <c r="B144" s="142" t="s">
        <v>26</v>
      </c>
      <c r="C144" s="138" t="s">
        <v>311</v>
      </c>
      <c r="D144" s="235" t="s">
        <v>40</v>
      </c>
      <c r="E144" s="236" t="s">
        <v>326</v>
      </c>
      <c r="F144" s="236"/>
      <c r="G144" s="235" t="s">
        <v>330</v>
      </c>
      <c r="H144" s="235" t="str">
        <f>VLOOKUP(A144,'2. Status Detalhe Campos'!$A$7:$G$574,7,0)</f>
        <v>2.1 Em Teste</v>
      </c>
      <c r="I144" s="276" t="s">
        <v>38</v>
      </c>
      <c r="J144" s="285">
        <v>45614</v>
      </c>
      <c r="K144" s="285">
        <v>45615</v>
      </c>
      <c r="L144" s="290">
        <f t="array" ref="L144">MIN(IF(W144:CI144&gt;0,$W$16:$CI$16))</f>
        <v>45667</v>
      </c>
      <c r="M144" s="291">
        <f t="array" ref="M144">MAX(IF(W144:CI144&gt;0,$W$16:$CI$16))</f>
        <v>45667</v>
      </c>
      <c r="N144" s="291"/>
      <c r="O144" s="248">
        <f>VLOOKUP(H144,Auxiliar!$B$16:$E$24,4,0)</f>
        <v>0.25</v>
      </c>
      <c r="P144" s="248">
        <f t="shared" ca="1" si="36"/>
        <v>1</v>
      </c>
      <c r="Q144" s="247">
        <f t="shared" ca="1" si="34"/>
        <v>-0.75</v>
      </c>
      <c r="R144" s="262" t="s">
        <v>38</v>
      </c>
      <c r="S144" s="280"/>
      <c r="T144" s="270">
        <v>4.0999999999999996</v>
      </c>
      <c r="U144" s="270">
        <f t="shared" si="37"/>
        <v>0.5</v>
      </c>
      <c r="V144" s="270">
        <f t="shared" si="38"/>
        <v>-0.5</v>
      </c>
      <c r="W144" s="281"/>
      <c r="X144" s="281"/>
      <c r="Y144" s="281"/>
      <c r="Z144" s="281"/>
      <c r="AA144" s="281"/>
      <c r="AB144" s="281"/>
      <c r="AC144" s="281"/>
      <c r="AD144" s="282"/>
      <c r="AE144" s="281"/>
      <c r="AF144" s="281"/>
      <c r="AG144" s="281"/>
      <c r="AH144" s="281"/>
      <c r="AI144" s="281"/>
      <c r="AJ144" s="281"/>
      <c r="AK144" s="281"/>
      <c r="AL144" s="281"/>
      <c r="AM144" s="281"/>
      <c r="AN144" s="281"/>
      <c r="AO144" s="283"/>
      <c r="AP144" s="288"/>
      <c r="AQ144" s="281"/>
      <c r="AR144" s="281"/>
      <c r="AS144" s="281"/>
      <c r="AT144" s="281"/>
      <c r="AU144" s="281"/>
      <c r="AV144" s="281"/>
      <c r="AW144" s="281"/>
      <c r="AX144" s="281"/>
      <c r="AY144" s="281"/>
      <c r="AZ144" s="281"/>
      <c r="BA144" s="281"/>
      <c r="BB144" s="281"/>
      <c r="BC144" s="281"/>
      <c r="BD144" s="281"/>
      <c r="BE144" s="281"/>
      <c r="BF144" s="281"/>
      <c r="BG144" s="281"/>
      <c r="BH144" s="281"/>
      <c r="BI144" s="281"/>
      <c r="BJ144" s="281"/>
      <c r="BK144" s="281"/>
      <c r="BL144" s="281"/>
      <c r="BM144" s="281"/>
      <c r="BN144" s="281"/>
      <c r="BO144" s="282"/>
      <c r="BP144" s="282"/>
      <c r="BQ144" s="282"/>
      <c r="BR144" s="282"/>
      <c r="BS144" s="282"/>
      <c r="BT144" s="282"/>
      <c r="BU144" s="282"/>
      <c r="BV144" s="281"/>
      <c r="BW144" s="281"/>
      <c r="BX144" s="281"/>
      <c r="BY144" s="281"/>
      <c r="BZ144" s="281"/>
      <c r="CA144" s="281"/>
      <c r="CB144" s="281" t="s">
        <v>444</v>
      </c>
      <c r="CC144" s="281"/>
      <c r="CD144" s="281"/>
      <c r="CE144" s="281"/>
      <c r="CF144" s="281"/>
      <c r="CG144" s="281"/>
      <c r="CH144" s="281"/>
      <c r="CI144" s="281"/>
    </row>
    <row r="145" spans="1:87" ht="16.2" hidden="1" outlineLevel="1">
      <c r="A145" s="274" t="str">
        <f t="shared" si="35"/>
        <v>modesg_out_empr_info_nfinorigem_flg_nfrd</v>
      </c>
      <c r="B145" s="142" t="s">
        <v>26</v>
      </c>
      <c r="C145" s="138" t="s">
        <v>311</v>
      </c>
      <c r="D145" s="235" t="s">
        <v>40</v>
      </c>
      <c r="E145" s="236" t="s">
        <v>326</v>
      </c>
      <c r="F145" s="236"/>
      <c r="G145" s="235" t="s">
        <v>331</v>
      </c>
      <c r="H145" s="235" t="str">
        <f>VLOOKUP(A145,'2. Status Detalhe Campos'!$A$7:$G$574,7,0)</f>
        <v>1. Concluído</v>
      </c>
      <c r="I145" s="276" t="s">
        <v>38</v>
      </c>
      <c r="J145" s="285">
        <v>45614</v>
      </c>
      <c r="K145" s="285">
        <v>45615</v>
      </c>
      <c r="L145" s="290">
        <f t="array" ref="L145">MIN(IF(W145:CI145&gt;0,$W$16:$CI$16))</f>
        <v>45667</v>
      </c>
      <c r="M145" s="291">
        <f t="array" ref="M145">MAX(IF(W145:CI145&gt;0,$W$16:$CI$16))</f>
        <v>45667</v>
      </c>
      <c r="N145" s="291"/>
      <c r="O145" s="248">
        <f>VLOOKUP(H145,Auxiliar!$B$16:$E$24,4,0)</f>
        <v>1</v>
      </c>
      <c r="P145" s="248">
        <f t="shared" ca="1" si="36"/>
        <v>1</v>
      </c>
      <c r="Q145" s="247">
        <f t="shared" ca="1" si="34"/>
        <v>0</v>
      </c>
      <c r="R145" s="262" t="s">
        <v>38</v>
      </c>
      <c r="S145" s="280"/>
      <c r="T145" s="270">
        <v>4.0999999999999996</v>
      </c>
      <c r="U145" s="270">
        <f t="shared" si="37"/>
        <v>0.5</v>
      </c>
      <c r="V145" s="270">
        <f t="shared" si="38"/>
        <v>-0.5</v>
      </c>
      <c r="W145" s="281"/>
      <c r="X145" s="281"/>
      <c r="Y145" s="281"/>
      <c r="Z145" s="281"/>
      <c r="AA145" s="281"/>
      <c r="AB145" s="281"/>
      <c r="AC145" s="281"/>
      <c r="AD145" s="282"/>
      <c r="AE145" s="281"/>
      <c r="AF145" s="281"/>
      <c r="AG145" s="281"/>
      <c r="AH145" s="281"/>
      <c r="AI145" s="281"/>
      <c r="AJ145" s="281"/>
      <c r="AK145" s="281"/>
      <c r="AL145" s="281"/>
      <c r="AM145" s="281"/>
      <c r="AN145" s="281"/>
      <c r="AO145" s="283"/>
      <c r="AP145" s="288"/>
      <c r="AQ145" s="281"/>
      <c r="AR145" s="281"/>
      <c r="AS145" s="281"/>
      <c r="AT145" s="281"/>
      <c r="AU145" s="281"/>
      <c r="AV145" s="281"/>
      <c r="AW145" s="281"/>
      <c r="AX145" s="281"/>
      <c r="AY145" s="281"/>
      <c r="AZ145" s="281"/>
      <c r="BA145" s="281"/>
      <c r="BB145" s="281"/>
      <c r="BC145" s="281"/>
      <c r="BD145" s="281"/>
      <c r="BE145" s="281"/>
      <c r="BF145" s="281"/>
      <c r="BG145" s="281"/>
      <c r="BH145" s="281"/>
      <c r="BI145" s="281"/>
      <c r="BJ145" s="281"/>
      <c r="BK145" s="281"/>
      <c r="BL145" s="281"/>
      <c r="BM145" s="281"/>
      <c r="BN145" s="281"/>
      <c r="BO145" s="282"/>
      <c r="BP145" s="282"/>
      <c r="BQ145" s="282"/>
      <c r="BR145" s="282"/>
      <c r="BS145" s="282"/>
      <c r="BT145" s="282"/>
      <c r="BU145" s="282"/>
      <c r="BV145" s="281"/>
      <c r="BW145" s="281"/>
      <c r="BX145" s="281"/>
      <c r="BY145" s="281"/>
      <c r="BZ145" s="281"/>
      <c r="CA145" s="281"/>
      <c r="CB145" s="281" t="s">
        <v>444</v>
      </c>
      <c r="CC145" s="281"/>
      <c r="CD145" s="281"/>
      <c r="CE145" s="281"/>
      <c r="CF145" s="281"/>
      <c r="CG145" s="281"/>
      <c r="CH145" s="281"/>
      <c r="CI145" s="281"/>
    </row>
    <row r="146" spans="1:87" ht="15" customHeight="1" collapsed="1">
      <c r="A146" s="274"/>
      <c r="B146" s="142" t="s">
        <v>26</v>
      </c>
      <c r="C146" s="138" t="s">
        <v>26</v>
      </c>
      <c r="D146" s="134"/>
      <c r="E146" s="375" t="s">
        <v>336</v>
      </c>
      <c r="F146" s="239" t="s">
        <v>1994</v>
      </c>
      <c r="G146" s="240">
        <f>COUNTA(G147:G149)</f>
        <v>3</v>
      </c>
      <c r="H146" s="295" t="s">
        <v>2005</v>
      </c>
      <c r="I146" s="278" t="s">
        <v>38</v>
      </c>
      <c r="J146" s="277">
        <f>MIN(J147:J149)</f>
        <v>45621</v>
      </c>
      <c r="K146" s="278">
        <f>MIN(K147:K149)</f>
        <v>45596</v>
      </c>
      <c r="L146" s="277">
        <f>MIN(L147:L149)</f>
        <v>45625</v>
      </c>
      <c r="M146" s="278">
        <f>MAX(M147:M149)</f>
        <v>45638</v>
      </c>
      <c r="N146" s="323">
        <f t="array" ref="N146">MAX(IF(W146:CI146&gt;0,$W$16:$CI$16))</f>
        <v>45639</v>
      </c>
      <c r="O146" s="322">
        <f>SUMPRODUCT(O147:O150,U147:U150)/SUM(U147:U150)</f>
        <v>0</v>
      </c>
      <c r="P146" s="322">
        <f ca="1">SUMPRODUCT(P147:P149,U147:U149)/SUM(U147:U149)</f>
        <v>1</v>
      </c>
      <c r="Q146" s="247">
        <f t="shared" ca="1" si="34"/>
        <v>-1</v>
      </c>
      <c r="R146" s="374" t="s">
        <v>2050</v>
      </c>
      <c r="S146" s="280"/>
      <c r="T146" s="270"/>
      <c r="U146" s="270"/>
      <c r="V146" s="270"/>
      <c r="W146" s="281"/>
      <c r="X146" s="289"/>
      <c r="Y146" s="281"/>
      <c r="Z146" s="281"/>
      <c r="AA146" s="281"/>
      <c r="AB146" s="281"/>
      <c r="AC146" s="288"/>
      <c r="AD146" s="282"/>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c r="BA146" s="281"/>
      <c r="BB146" s="281"/>
      <c r="BC146" s="326"/>
      <c r="BD146" s="281"/>
      <c r="BE146" s="281"/>
      <c r="BF146" s="281"/>
      <c r="BG146" s="281"/>
      <c r="BH146" s="281" t="s">
        <v>444</v>
      </c>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c r="CC146" s="281"/>
      <c r="CD146" s="281"/>
      <c r="CE146" s="281"/>
      <c r="CF146" s="281"/>
      <c r="CG146" s="281"/>
      <c r="CH146" s="281"/>
      <c r="CI146" s="281"/>
    </row>
    <row r="147" spans="1:87" ht="16.2" hidden="1" outlineLevel="1">
      <c r="A147" s="274" t="str">
        <f>E147&amp;G147</f>
        <v>lt003_entitycntrprty_emssns_scp1</v>
      </c>
      <c r="B147" s="142" t="s">
        <v>26</v>
      </c>
      <c r="C147" s="138" t="s">
        <v>26</v>
      </c>
      <c r="D147" s="235" t="s">
        <v>40</v>
      </c>
      <c r="E147" s="238" t="s">
        <v>336</v>
      </c>
      <c r="F147" s="238"/>
      <c r="G147" s="238" t="s">
        <v>354</v>
      </c>
      <c r="H147" s="235" t="str">
        <f>VLOOKUP(A147,'2. Status Detalhe Campos'!$A$7:$G$574,7,0)</f>
        <v>3. Pendente de outros desenvolvimentos</v>
      </c>
      <c r="I147" s="276" t="s">
        <v>38</v>
      </c>
      <c r="J147" s="285">
        <v>45621</v>
      </c>
      <c r="K147" s="285">
        <v>45596</v>
      </c>
      <c r="L147" s="290">
        <f t="array" ref="L147">MIN(IF(W147:CI147&gt;0,$W$16:$CI$16))</f>
        <v>45625</v>
      </c>
      <c r="M147" s="291">
        <f t="array" ref="M147">MAX(IF(W147:CI147&gt;0,$W$16:$CI$16))</f>
        <v>45625</v>
      </c>
      <c r="N147" s="291"/>
      <c r="O147" s="248">
        <f>VLOOKUP(H147,Auxiliar!$B$16:$E$24,4,0)</f>
        <v>0</v>
      </c>
      <c r="P147" s="248">
        <f ca="1">IF(TODAY()&lt;=L147,0,MIN((TODAY()-L147)/(M147-L147+1),100%))</f>
        <v>1</v>
      </c>
      <c r="Q147" s="247">
        <f t="shared" ca="1" si="34"/>
        <v>-1</v>
      </c>
      <c r="R147" s="262" t="s">
        <v>38</v>
      </c>
      <c r="S147" s="280"/>
      <c r="T147" s="270">
        <v>4.0999999999999996</v>
      </c>
      <c r="U147" s="270">
        <f>ROUND(T147/8,1)</f>
        <v>0.5</v>
      </c>
      <c r="V147" s="270">
        <f>SUM(W147:CI147)-U147</f>
        <v>0</v>
      </c>
      <c r="W147" s="281"/>
      <c r="X147" s="289"/>
      <c r="Y147" s="281"/>
      <c r="Z147" s="281"/>
      <c r="AA147" s="281"/>
      <c r="AB147" s="281"/>
      <c r="AC147" s="288"/>
      <c r="AD147" s="282"/>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v>0.5</v>
      </c>
      <c r="AY147" s="281"/>
      <c r="AZ147" s="281"/>
      <c r="BA147" s="281"/>
      <c r="BB147" s="281"/>
      <c r="BC147" s="281"/>
      <c r="BD147" s="281"/>
      <c r="BE147" s="281"/>
      <c r="BF147" s="281"/>
      <c r="BG147" s="281"/>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c r="CC147" s="281"/>
      <c r="CD147" s="281"/>
      <c r="CE147" s="281"/>
      <c r="CF147" s="281"/>
      <c r="CG147" s="281"/>
      <c r="CH147" s="281"/>
      <c r="CI147" s="281"/>
    </row>
    <row r="148" spans="1:87" ht="16.2" hidden="1" outlineLevel="1">
      <c r="A148" s="274" t="str">
        <f>E148&amp;G148</f>
        <v>lt003_entitycntrprty_emssns_scp2</v>
      </c>
      <c r="B148" s="142" t="s">
        <v>26</v>
      </c>
      <c r="C148" s="138" t="s">
        <v>26</v>
      </c>
      <c r="D148" s="235" t="s">
        <v>40</v>
      </c>
      <c r="E148" s="238" t="s">
        <v>336</v>
      </c>
      <c r="F148" s="238"/>
      <c r="G148" s="238" t="s">
        <v>355</v>
      </c>
      <c r="H148" s="235" t="str">
        <f>VLOOKUP(A148,'2. Status Detalhe Campos'!$A$7:$G$574,7,0)</f>
        <v>3. Pendente de outros desenvolvimentos</v>
      </c>
      <c r="I148" s="276" t="s">
        <v>38</v>
      </c>
      <c r="J148" s="285">
        <v>45621</v>
      </c>
      <c r="K148" s="285">
        <v>45596</v>
      </c>
      <c r="L148" s="290">
        <f t="array" ref="L148">MIN(IF(W148:CI148&gt;0,$W$16:$CI$16))</f>
        <v>45625</v>
      </c>
      <c r="M148" s="291">
        <f t="array" ref="M148">MAX(IF(W148:CI148&gt;0,$W$16:$CI$16))</f>
        <v>45625</v>
      </c>
      <c r="N148" s="291"/>
      <c r="O148" s="248">
        <f>VLOOKUP(H148,Auxiliar!$B$16:$E$24,4,0)</f>
        <v>0</v>
      </c>
      <c r="P148" s="248">
        <f ca="1">IF(TODAY()&lt;=L148,0,MIN((TODAY()-L148)/(M148-L148+1),100%))</f>
        <v>1</v>
      </c>
      <c r="Q148" s="247">
        <f t="shared" ca="1" si="34"/>
        <v>-1</v>
      </c>
      <c r="R148" s="262" t="s">
        <v>38</v>
      </c>
      <c r="S148" s="280"/>
      <c r="T148" s="270">
        <v>4.0999999999999996</v>
      </c>
      <c r="U148" s="270">
        <f>ROUND(T148/8,1)</f>
        <v>0.5</v>
      </c>
      <c r="V148" s="270">
        <f>SUM(W148:CI148)-U148</f>
        <v>0</v>
      </c>
      <c r="W148" s="281"/>
      <c r="X148" s="289"/>
      <c r="Y148" s="281"/>
      <c r="Z148" s="281"/>
      <c r="AA148" s="281"/>
      <c r="AB148" s="281"/>
      <c r="AC148" s="288"/>
      <c r="AD148" s="282"/>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v>0.5</v>
      </c>
      <c r="AY148" s="281"/>
      <c r="AZ148" s="281"/>
      <c r="BA148" s="281"/>
      <c r="BB148" s="281"/>
      <c r="BC148" s="281"/>
      <c r="BD148" s="281"/>
      <c r="BE148" s="281"/>
      <c r="BF148" s="281"/>
      <c r="BG148" s="281"/>
      <c r="BH148" s="281"/>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c r="CH148" s="281"/>
      <c r="CI148" s="281"/>
    </row>
    <row r="149" spans="1:87" ht="16.2" hidden="1" outlineLevel="1">
      <c r="A149" s="274" t="str">
        <f>E149&amp;G149</f>
        <v>lt003_entitycntrprty_emssns_scp3</v>
      </c>
      <c r="B149" s="142" t="s">
        <v>26</v>
      </c>
      <c r="C149" s="138" t="s">
        <v>26</v>
      </c>
      <c r="D149" s="235" t="s">
        <v>40</v>
      </c>
      <c r="E149" s="238" t="s">
        <v>336</v>
      </c>
      <c r="F149" s="238"/>
      <c r="G149" s="238" t="s">
        <v>356</v>
      </c>
      <c r="H149" s="235" t="str">
        <f>VLOOKUP(A149,'2. Status Detalhe Campos'!$A$7:$G$574,7,0)</f>
        <v>3. Pendente de outros desenvolvimentos</v>
      </c>
      <c r="I149" s="276" t="s">
        <v>38</v>
      </c>
      <c r="J149" s="285">
        <v>45621</v>
      </c>
      <c r="K149" s="285">
        <v>45596</v>
      </c>
      <c r="L149" s="290">
        <f t="array" ref="L149">MIN(IF(W149:CI149&gt;0,$W$16:$CI$16))</f>
        <v>45638</v>
      </c>
      <c r="M149" s="291">
        <f t="array" ref="M149">MAX(IF(W149:CI149&gt;0,$W$16:$CI$16))</f>
        <v>45638</v>
      </c>
      <c r="N149" s="291"/>
      <c r="O149" s="248">
        <f>VLOOKUP(H149,Auxiliar!$B$16:$E$24,4,0)</f>
        <v>0</v>
      </c>
      <c r="P149" s="248">
        <f ca="1">IF(TODAY()&lt;=L149,0,MIN((TODAY()-L149)/(M149-L149+1),100%))</f>
        <v>1</v>
      </c>
      <c r="Q149" s="247">
        <f t="shared" ca="1" si="34"/>
        <v>-1</v>
      </c>
      <c r="R149" s="262" t="s">
        <v>38</v>
      </c>
      <c r="S149" s="280"/>
      <c r="T149" s="270">
        <v>4.0999999999999996</v>
      </c>
      <c r="U149" s="270">
        <f>ROUND(T149/8,1)</f>
        <v>0.5</v>
      </c>
      <c r="V149" s="270">
        <f>SUM(W149:CI149)-U149</f>
        <v>0</v>
      </c>
      <c r="W149" s="281"/>
      <c r="X149" s="289"/>
      <c r="Y149" s="281"/>
      <c r="Z149" s="281"/>
      <c r="AA149" s="281"/>
      <c r="AB149" s="281"/>
      <c r="AC149" s="288"/>
      <c r="AD149" s="282"/>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c r="BA149" s="281"/>
      <c r="BB149" s="281"/>
      <c r="BC149" s="281"/>
      <c r="BD149" s="281"/>
      <c r="BE149" s="281"/>
      <c r="BF149" s="281"/>
      <c r="BG149" s="281">
        <v>0.5</v>
      </c>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c r="CH149" s="281"/>
      <c r="CI149" s="281"/>
    </row>
    <row r="150" spans="1:87" ht="15" customHeight="1" collapsed="1">
      <c r="A150" s="274"/>
      <c r="B150" s="142" t="s">
        <v>26</v>
      </c>
      <c r="C150" s="138" t="s">
        <v>311</v>
      </c>
      <c r="D150" s="134"/>
      <c r="E150" s="379" t="s">
        <v>326</v>
      </c>
      <c r="F150" s="239" t="s">
        <v>1993</v>
      </c>
      <c r="G150" s="240">
        <f>COUNTA(G151:G156)</f>
        <v>6</v>
      </c>
      <c r="H150" s="295" t="s">
        <v>2005</v>
      </c>
      <c r="I150" s="276" t="s">
        <v>38</v>
      </c>
      <c r="J150" s="277">
        <f>MIN(J151:J156)</f>
        <v>45621</v>
      </c>
      <c r="K150" s="329">
        <f>MIN(K151:K156)</f>
        <v>45622</v>
      </c>
      <c r="L150" s="277">
        <f>MIN(L151:L156)</f>
        <v>45636</v>
      </c>
      <c r="M150" s="278">
        <f>MAX(M151:M156)</f>
        <v>45645</v>
      </c>
      <c r="N150" s="323">
        <f t="array" ref="N150">MAX(IF(W150:CI150&gt;0,$W$16:$CI$16))</f>
        <v>45646</v>
      </c>
      <c r="O150" s="322">
        <f>SUMPRODUCT(O151:O156,U151:U156)/SUM(U151:U156)</f>
        <v>0</v>
      </c>
      <c r="P150" s="322">
        <f ca="1">SUMPRODUCT(P151:P156,U151:U156)/SUM(U151:U156)</f>
        <v>1</v>
      </c>
      <c r="Q150" s="247">
        <f t="shared" ca="1" si="34"/>
        <v>-1</v>
      </c>
      <c r="R150" s="374" t="s">
        <v>2058</v>
      </c>
      <c r="S150" s="280"/>
      <c r="T150" s="270"/>
      <c r="U150" s="270"/>
      <c r="V150" s="270"/>
      <c r="W150" s="281"/>
      <c r="X150" s="281"/>
      <c r="Y150" s="281"/>
      <c r="Z150" s="281"/>
      <c r="AA150" s="281"/>
      <c r="AB150" s="281"/>
      <c r="AC150" s="281"/>
      <c r="AD150" s="282"/>
      <c r="AE150" s="281"/>
      <c r="AF150" s="281"/>
      <c r="AG150" s="281"/>
      <c r="AH150" s="281"/>
      <c r="AI150" s="281"/>
      <c r="AJ150" s="281"/>
      <c r="AK150" s="281"/>
      <c r="AL150" s="281"/>
      <c r="AM150" s="281"/>
      <c r="AN150" s="281"/>
      <c r="AO150" s="281"/>
      <c r="AP150" s="281"/>
      <c r="AQ150" s="281"/>
      <c r="AR150" s="281"/>
      <c r="AS150" s="281"/>
      <c r="AT150" s="283"/>
      <c r="AU150" s="269"/>
      <c r="AV150" s="281"/>
      <c r="AW150" s="281"/>
      <c r="AX150" s="281"/>
      <c r="AY150" s="281"/>
      <c r="AZ150" s="281"/>
      <c r="BA150" s="281"/>
      <c r="BB150" s="281"/>
      <c r="BC150" s="281"/>
      <c r="BD150" s="281"/>
      <c r="BE150" s="281"/>
      <c r="BF150" s="281"/>
      <c r="BG150" s="281"/>
      <c r="BJ150" s="281"/>
      <c r="BK150" s="281"/>
      <c r="BL150" s="281"/>
      <c r="BM150" s="281" t="s">
        <v>444</v>
      </c>
      <c r="BO150" s="282"/>
      <c r="BP150" s="282"/>
      <c r="BQ150" s="282"/>
      <c r="BR150" s="282"/>
      <c r="BS150" s="282"/>
      <c r="BT150" s="282"/>
      <c r="BU150" s="282"/>
      <c r="BV150" s="281"/>
      <c r="BW150" s="281"/>
      <c r="BX150" s="281"/>
      <c r="BY150" s="281"/>
      <c r="BZ150" s="281"/>
      <c r="CA150" s="281"/>
      <c r="CB150" s="281"/>
      <c r="CC150" s="281"/>
      <c r="CD150" s="281"/>
      <c r="CE150" s="281"/>
      <c r="CF150" s="281"/>
      <c r="CG150" s="281"/>
      <c r="CH150" s="281"/>
      <c r="CI150" s="281"/>
    </row>
    <row r="151" spans="1:87" ht="16.2" hidden="1" outlineLevel="1">
      <c r="A151" s="274" t="str">
        <f t="shared" ref="A151:A156" si="39">E151&amp;G151</f>
        <v>modesg_out_empr_info_nfinorigem_scp1_emss</v>
      </c>
      <c r="B151" s="142" t="s">
        <v>26</v>
      </c>
      <c r="C151" s="138" t="s">
        <v>311</v>
      </c>
      <c r="D151" s="235" t="s">
        <v>40</v>
      </c>
      <c r="E151" s="236" t="s">
        <v>326</v>
      </c>
      <c r="F151" s="236"/>
      <c r="G151" s="235" t="s">
        <v>320</v>
      </c>
      <c r="H151" s="235" t="str">
        <f>VLOOKUP(A151,'2. Status Detalhe Campos'!$A$7:$G$574,7,0)</f>
        <v>6. Em implementação (re-especificação)</v>
      </c>
      <c r="I151" s="276" t="s">
        <v>38</v>
      </c>
      <c r="J151" s="285">
        <v>45621</v>
      </c>
      <c r="K151" s="285">
        <v>45622</v>
      </c>
      <c r="L151" s="290">
        <f t="array" ref="L151">MIN(IF(W151:CI151&gt;0,$W$16:$CI$16))</f>
        <v>45645</v>
      </c>
      <c r="M151" s="291">
        <f t="array" ref="M151">MAX(IF(W151:CI151&gt;0,$W$16:$CI$16))</f>
        <v>45645</v>
      </c>
      <c r="N151" s="291"/>
      <c r="O151" s="248">
        <f>VLOOKUP(H151,Auxiliar!$B$16:$E$24,4,0)</f>
        <v>0</v>
      </c>
      <c r="P151" s="248">
        <f t="shared" ref="P151:P156" ca="1" si="40">IF(TODAY()&lt;=L151,0,MIN((TODAY()-L151)/(M151-L151+1),100%))</f>
        <v>1</v>
      </c>
      <c r="Q151" s="247">
        <f t="shared" ca="1" si="34"/>
        <v>-1</v>
      </c>
      <c r="R151" s="262" t="s">
        <v>38</v>
      </c>
      <c r="S151" s="280"/>
      <c r="T151" s="270">
        <v>4.0999999999999996</v>
      </c>
      <c r="U151" s="270">
        <f t="shared" ref="U151:U156" si="41">ROUND(T151/8,1)</f>
        <v>0.5</v>
      </c>
      <c r="V151" s="270">
        <f t="shared" ref="V151:V156" si="42">SUM(W151:CI151)-U151</f>
        <v>0</v>
      </c>
      <c r="W151" s="281"/>
      <c r="X151" s="281"/>
      <c r="Y151" s="281"/>
      <c r="Z151" s="281"/>
      <c r="AA151" s="281"/>
      <c r="AB151" s="281"/>
      <c r="AC151" s="281"/>
      <c r="AD151" s="282"/>
      <c r="AE151" s="281"/>
      <c r="AF151" s="281"/>
      <c r="AG151" s="281"/>
      <c r="AH151" s="281"/>
      <c r="AI151" s="281"/>
      <c r="AJ151" s="281"/>
      <c r="AK151" s="281"/>
      <c r="AL151" s="281"/>
      <c r="AM151" s="281"/>
      <c r="AN151" s="281"/>
      <c r="AO151" s="281"/>
      <c r="AP151" s="281"/>
      <c r="AQ151" s="281"/>
      <c r="AR151" s="281"/>
      <c r="AS151" s="281"/>
      <c r="AT151" s="283"/>
      <c r="AU151" s="269"/>
      <c r="AV151" s="281"/>
      <c r="AW151" s="281"/>
      <c r="AX151" s="281"/>
      <c r="AY151" s="281"/>
      <c r="AZ151" s="281"/>
      <c r="BA151" s="281"/>
      <c r="BB151" s="281"/>
      <c r="BC151" s="281"/>
      <c r="BE151" s="281"/>
      <c r="BF151" s="281"/>
      <c r="BG151" s="281"/>
      <c r="BH151" s="281"/>
      <c r="BI151" s="281"/>
      <c r="BJ151" s="281"/>
      <c r="BK151" s="281"/>
      <c r="BL151" s="281">
        <v>0.5</v>
      </c>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c r="CH151" s="281"/>
      <c r="CI151" s="281"/>
    </row>
    <row r="152" spans="1:87" ht="16.2" hidden="1" outlineLevel="1">
      <c r="A152" s="274" t="str">
        <f t="shared" si="39"/>
        <v>modesg_out_empr_info_nfinorigem_scp2_emss</v>
      </c>
      <c r="B152" s="142" t="s">
        <v>26</v>
      </c>
      <c r="C152" s="138" t="s">
        <v>311</v>
      </c>
      <c r="D152" s="235" t="s">
        <v>40</v>
      </c>
      <c r="E152" s="236" t="s">
        <v>326</v>
      </c>
      <c r="F152" s="236"/>
      <c r="G152" s="235" t="s">
        <v>321</v>
      </c>
      <c r="H152" s="235" t="str">
        <f>VLOOKUP(A152,'2. Status Detalhe Campos'!$A$7:$G$574,7,0)</f>
        <v>6. Em implementação (re-especificação)</v>
      </c>
      <c r="I152" s="276" t="s">
        <v>38</v>
      </c>
      <c r="J152" s="285">
        <v>45621</v>
      </c>
      <c r="K152" s="285">
        <v>45622</v>
      </c>
      <c r="L152" s="290">
        <f t="array" ref="L152">MIN(IF(W152:CI152&gt;0,$W$16:$CI$16))</f>
        <v>45645</v>
      </c>
      <c r="M152" s="291">
        <f t="array" ref="M152">MAX(IF(W152:CI152&gt;0,$W$16:$CI$16))</f>
        <v>45645</v>
      </c>
      <c r="N152" s="291"/>
      <c r="O152" s="248">
        <f>VLOOKUP(H152,Auxiliar!$B$16:$E$24,4,0)</f>
        <v>0</v>
      </c>
      <c r="P152" s="248">
        <f t="shared" ca="1" si="40"/>
        <v>1</v>
      </c>
      <c r="Q152" s="247">
        <f t="shared" ca="1" si="34"/>
        <v>-1</v>
      </c>
      <c r="R152" s="262" t="s">
        <v>38</v>
      </c>
      <c r="S152" s="280"/>
      <c r="T152" s="270">
        <v>4.0999999999999996</v>
      </c>
      <c r="U152" s="270">
        <f t="shared" si="41"/>
        <v>0.5</v>
      </c>
      <c r="V152" s="270">
        <f t="shared" si="42"/>
        <v>0</v>
      </c>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E152" s="281"/>
      <c r="BF152" s="281"/>
      <c r="BG152" s="281"/>
      <c r="BH152" s="281"/>
      <c r="BI152" s="281"/>
      <c r="BJ152" s="281"/>
      <c r="BK152" s="281"/>
      <c r="BL152" s="281">
        <v>0.5</v>
      </c>
      <c r="BM152" s="281"/>
      <c r="BN152" s="281"/>
      <c r="BO152" s="282"/>
      <c r="BP152" s="282"/>
      <c r="BQ152" s="282"/>
      <c r="BR152" s="282"/>
      <c r="BS152" s="282"/>
      <c r="BT152" s="282"/>
      <c r="BU152" s="282"/>
      <c r="BV152" s="281"/>
      <c r="BW152" s="281"/>
      <c r="BX152" s="281"/>
      <c r="BY152" s="281"/>
      <c r="BZ152" s="281"/>
      <c r="CA152" s="281"/>
      <c r="CB152" s="281"/>
      <c r="CC152" s="281"/>
      <c r="CD152" s="281"/>
      <c r="CE152" s="281"/>
      <c r="CF152" s="281"/>
      <c r="CG152" s="281"/>
      <c r="CH152" s="281"/>
      <c r="CI152" s="281"/>
    </row>
    <row r="153" spans="1:87" ht="16.2" hidden="1" outlineLevel="1">
      <c r="A153" s="274" t="str">
        <f t="shared" si="39"/>
        <v>modesg_out_empr_info_nfinorigem_scp3_emss</v>
      </c>
      <c r="B153" s="142" t="s">
        <v>26</v>
      </c>
      <c r="C153" s="138" t="s">
        <v>311</v>
      </c>
      <c r="D153" s="235" t="s">
        <v>40</v>
      </c>
      <c r="E153" s="236" t="s">
        <v>326</v>
      </c>
      <c r="F153" s="236"/>
      <c r="G153" s="235" t="s">
        <v>322</v>
      </c>
      <c r="H153" s="235" t="str">
        <f>VLOOKUP(A153,'2. Status Detalhe Campos'!$A$7:$G$574,7,0)</f>
        <v>6. Em implementação (re-especificação)</v>
      </c>
      <c r="I153" s="276" t="s">
        <v>38</v>
      </c>
      <c r="J153" s="285">
        <v>45621</v>
      </c>
      <c r="K153" s="285">
        <v>45622</v>
      </c>
      <c r="L153" s="290">
        <f t="array" ref="L153">MIN(IF(W153:CI153&gt;0,$W$16:$CI$16))</f>
        <v>45645</v>
      </c>
      <c r="M153" s="291">
        <f t="array" ref="M153">MAX(IF(W153:CI153&gt;0,$W$16:$CI$16))</f>
        <v>45645</v>
      </c>
      <c r="N153" s="291"/>
      <c r="O153" s="248">
        <f>VLOOKUP(H153,Auxiliar!$B$16:$E$24,4,0)</f>
        <v>0</v>
      </c>
      <c r="P153" s="248">
        <f t="shared" ca="1" si="40"/>
        <v>1</v>
      </c>
      <c r="Q153" s="247">
        <f t="shared" ca="1" si="34"/>
        <v>-1</v>
      </c>
      <c r="R153" s="262" t="s">
        <v>38</v>
      </c>
      <c r="S153" s="280"/>
      <c r="T153" s="270">
        <v>4.0999999999999996</v>
      </c>
      <c r="U153" s="270">
        <f t="shared" si="41"/>
        <v>0.5</v>
      </c>
      <c r="V153" s="270">
        <f t="shared" si="42"/>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D153" s="281"/>
      <c r="BF153" s="281"/>
      <c r="BG153" s="281"/>
      <c r="BH153" s="281"/>
      <c r="BI153" s="281"/>
      <c r="BJ153" s="281"/>
      <c r="BK153" s="281"/>
      <c r="BL153" s="281">
        <v>0.5</v>
      </c>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hidden="1" outlineLevel="1">
      <c r="A154" s="274" t="str">
        <f t="shared" si="39"/>
        <v>modesg_out_empr_info_nfinscp1_emss</v>
      </c>
      <c r="B154" s="142" t="s">
        <v>26</v>
      </c>
      <c r="C154" s="138" t="s">
        <v>311</v>
      </c>
      <c r="D154" s="235" t="s">
        <v>40</v>
      </c>
      <c r="E154" s="236" t="s">
        <v>326</v>
      </c>
      <c r="F154" s="236"/>
      <c r="G154" s="235" t="s">
        <v>286</v>
      </c>
      <c r="H154" s="235" t="str">
        <f>VLOOKUP(A154,'2. Status Detalhe Campos'!$A$7:$G$574,7,0)</f>
        <v>6. Em implementação (re-especificação)</v>
      </c>
      <c r="I154" s="276" t="s">
        <v>38</v>
      </c>
      <c r="J154" s="285">
        <v>45621</v>
      </c>
      <c r="K154" s="285">
        <v>45622</v>
      </c>
      <c r="L154" s="290">
        <f t="array" ref="L154">MIN(IF(W154:CI154&gt;0,$W$16:$CI$16))</f>
        <v>45636</v>
      </c>
      <c r="M154" s="291">
        <f t="array" ref="M154">MAX(IF(W154:CI154&gt;0,$W$16:$CI$16))</f>
        <v>45637</v>
      </c>
      <c r="N154" s="291"/>
      <c r="O154" s="248">
        <f>VLOOKUP(H154,Auxiliar!$B$16:$E$24,4,0)</f>
        <v>0</v>
      </c>
      <c r="P154" s="248">
        <f t="shared" ca="1" si="40"/>
        <v>1</v>
      </c>
      <c r="Q154" s="247">
        <f t="shared" ca="1" si="34"/>
        <v>-1</v>
      </c>
      <c r="R154" s="262" t="s">
        <v>38</v>
      </c>
      <c r="S154" s="280"/>
      <c r="T154" s="270">
        <v>8.1</v>
      </c>
      <c r="U154" s="270">
        <f t="shared" si="41"/>
        <v>1</v>
      </c>
      <c r="V154" s="270">
        <f t="shared" si="42"/>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D154" s="281"/>
      <c r="BE154" s="281">
        <v>0.5</v>
      </c>
      <c r="BF154" s="281">
        <v>0.5</v>
      </c>
      <c r="BG154" s="281"/>
      <c r="BH154" s="281"/>
      <c r="BI154" s="281"/>
      <c r="BJ154" s="281"/>
      <c r="BK154" s="281"/>
      <c r="BL154" s="281"/>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6.2" hidden="1" outlineLevel="1">
      <c r="A155" s="274" t="str">
        <f t="shared" si="39"/>
        <v>modesg_out_empr_info_nfinscp2_emss</v>
      </c>
      <c r="B155" s="142" t="s">
        <v>26</v>
      </c>
      <c r="C155" s="138" t="s">
        <v>311</v>
      </c>
      <c r="D155" s="235" t="s">
        <v>40</v>
      </c>
      <c r="E155" s="236" t="s">
        <v>326</v>
      </c>
      <c r="F155" s="236"/>
      <c r="G155" s="235" t="s">
        <v>287</v>
      </c>
      <c r="H155" s="235" t="str">
        <f>VLOOKUP(A155,'2. Status Detalhe Campos'!$A$7:$G$574,7,0)</f>
        <v>6. Em implementação (re-especificação)</v>
      </c>
      <c r="I155" s="276" t="s">
        <v>38</v>
      </c>
      <c r="J155" s="285">
        <v>45621</v>
      </c>
      <c r="K155" s="285">
        <v>45622</v>
      </c>
      <c r="L155" s="290">
        <f t="array" ref="L155">MIN(IF(W155:CI155&gt;0,$W$16:$CI$16))</f>
        <v>45637</v>
      </c>
      <c r="M155" s="291">
        <f t="array" ref="M155">MAX(IF(W155:CI155&gt;0,$W$16:$CI$16))</f>
        <v>45639</v>
      </c>
      <c r="N155" s="291"/>
      <c r="O155" s="248">
        <f>VLOOKUP(H155,Auxiliar!$B$16:$E$24,4,0)</f>
        <v>0</v>
      </c>
      <c r="P155" s="248">
        <f t="shared" ca="1" si="40"/>
        <v>1</v>
      </c>
      <c r="Q155" s="247">
        <f t="shared" ca="1" si="34"/>
        <v>-1</v>
      </c>
      <c r="R155" s="262" t="s">
        <v>38</v>
      </c>
      <c r="S155" s="280"/>
      <c r="T155" s="270">
        <v>8.1</v>
      </c>
      <c r="U155" s="270">
        <f t="shared" si="41"/>
        <v>1</v>
      </c>
      <c r="V155" s="270">
        <f t="shared" si="42"/>
        <v>0</v>
      </c>
      <c r="W155" s="281"/>
      <c r="X155" s="281"/>
      <c r="Y155" s="281"/>
      <c r="Z155" s="281"/>
      <c r="AA155" s="281"/>
      <c r="AB155" s="281"/>
      <c r="AC155" s="281"/>
      <c r="AD155" s="282"/>
      <c r="AE155" s="281"/>
      <c r="AF155" s="281"/>
      <c r="AG155" s="281"/>
      <c r="AH155" s="281"/>
      <c r="AI155" s="281"/>
      <c r="AJ155" s="281"/>
      <c r="AK155" s="281"/>
      <c r="AL155" s="281"/>
      <c r="AM155" s="281"/>
      <c r="AN155" s="281"/>
      <c r="AO155" s="281"/>
      <c r="AP155" s="281"/>
      <c r="AQ155" s="281"/>
      <c r="AR155" s="281"/>
      <c r="AS155" s="281"/>
      <c r="AT155" s="283"/>
      <c r="AU155" s="269"/>
      <c r="AV155" s="281"/>
      <c r="AW155" s="281"/>
      <c r="AX155" s="281"/>
      <c r="AY155" s="281"/>
      <c r="AZ155" s="281"/>
      <c r="BA155" s="281"/>
      <c r="BB155" s="281"/>
      <c r="BC155" s="281"/>
      <c r="BD155" s="281"/>
      <c r="BE155" s="281"/>
      <c r="BF155" s="281">
        <v>0.5</v>
      </c>
      <c r="BG155" s="281"/>
      <c r="BH155" s="281">
        <v>0.5</v>
      </c>
      <c r="BI155" s="281"/>
      <c r="BJ155" s="281"/>
      <c r="BK155" s="281"/>
      <c r="BL155" s="281"/>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6.2" hidden="1" outlineLevel="1">
      <c r="A156" s="274" t="str">
        <f t="shared" si="39"/>
        <v>modesg_out_empr_info_nfinscp3_emss</v>
      </c>
      <c r="B156" s="142" t="s">
        <v>26</v>
      </c>
      <c r="C156" s="138" t="s">
        <v>311</v>
      </c>
      <c r="D156" s="235" t="s">
        <v>40</v>
      </c>
      <c r="E156" s="236" t="s">
        <v>326</v>
      </c>
      <c r="F156" s="236"/>
      <c r="G156" s="235" t="s">
        <v>288</v>
      </c>
      <c r="H156" s="235" t="str">
        <f>VLOOKUP(A156,'2. Status Detalhe Campos'!$A$7:$G$574,7,0)</f>
        <v>6. Em implementação (re-especificação)</v>
      </c>
      <c r="I156" s="276" t="s">
        <v>38</v>
      </c>
      <c r="J156" s="285">
        <v>45621</v>
      </c>
      <c r="K156" s="285">
        <v>45622</v>
      </c>
      <c r="L156" s="290">
        <f t="array" ref="L156">MIN(IF(W156:CI156&gt;0,$W$16:$CI$16))</f>
        <v>45639</v>
      </c>
      <c r="M156" s="291">
        <f t="array" ref="M156">MAX(IF(W156:CI156&gt;0,$W$16:$CI$16))</f>
        <v>45639</v>
      </c>
      <c r="N156" s="291"/>
      <c r="O156" s="248">
        <f>VLOOKUP(H156,Auxiliar!$B$16:$E$24,4,0)</f>
        <v>0</v>
      </c>
      <c r="P156" s="248">
        <f t="shared" ca="1" si="40"/>
        <v>1</v>
      </c>
      <c r="Q156" s="247">
        <f t="shared" ca="1" si="34"/>
        <v>-1</v>
      </c>
      <c r="R156" s="262" t="s">
        <v>38</v>
      </c>
      <c r="S156" s="280"/>
      <c r="T156" s="270">
        <v>8.1</v>
      </c>
      <c r="U156" s="270">
        <f t="shared" si="41"/>
        <v>1</v>
      </c>
      <c r="V156" s="270">
        <f t="shared" si="42"/>
        <v>0</v>
      </c>
      <c r="W156" s="281"/>
      <c r="X156" s="281"/>
      <c r="Y156" s="281"/>
      <c r="Z156" s="281"/>
      <c r="AA156" s="281"/>
      <c r="AB156" s="281"/>
      <c r="AC156" s="281"/>
      <c r="AD156" s="282"/>
      <c r="AE156" s="281"/>
      <c r="AF156" s="281"/>
      <c r="AG156" s="281"/>
      <c r="AH156" s="281"/>
      <c r="AI156" s="281"/>
      <c r="AJ156" s="281"/>
      <c r="AK156" s="281"/>
      <c r="AL156" s="281"/>
      <c r="AM156" s="281"/>
      <c r="AN156" s="281"/>
      <c r="AO156" s="281"/>
      <c r="AP156" s="281"/>
      <c r="AQ156" s="281"/>
      <c r="AR156" s="281"/>
      <c r="AS156" s="281"/>
      <c r="AT156" s="283"/>
      <c r="AU156" s="269"/>
      <c r="AV156" s="281"/>
      <c r="AW156" s="281"/>
      <c r="AX156" s="281"/>
      <c r="AY156" s="281"/>
      <c r="AZ156" s="281"/>
      <c r="BA156" s="281"/>
      <c r="BB156" s="281"/>
      <c r="BC156" s="281"/>
      <c r="BD156" s="281"/>
      <c r="BE156" s="281"/>
      <c r="BF156" s="281"/>
      <c r="BG156" s="281"/>
      <c r="BH156" s="281">
        <v>1</v>
      </c>
      <c r="BI156" s="281"/>
      <c r="BJ156" s="281"/>
      <c r="BK156" s="281"/>
      <c r="BL156" s="281"/>
      <c r="BM156" s="281"/>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5" customHeight="1" collapsed="1">
      <c r="A157" s="274"/>
      <c r="B157" s="142" t="s">
        <v>26</v>
      </c>
      <c r="C157" s="138" t="s">
        <v>26</v>
      </c>
      <c r="D157" s="134"/>
      <c r="E157" s="241" t="s">
        <v>380</v>
      </c>
      <c r="F157" s="239" t="s">
        <v>2066</v>
      </c>
      <c r="G157" s="240">
        <f>COUNTA(G158:G158)</f>
        <v>1</v>
      </c>
      <c r="H157" s="294" t="s">
        <v>2059</v>
      </c>
      <c r="I157" s="278">
        <f>MAX(I158)</f>
        <v>45595</v>
      </c>
      <c r="J157" s="277">
        <f>MIN(J158)</f>
        <v>45624</v>
      </c>
      <c r="K157" s="329">
        <f>MIN(K158)</f>
        <v>45624</v>
      </c>
      <c r="L157" s="277">
        <f>MIN(L158:L158)</f>
        <v>45639</v>
      </c>
      <c r="M157" s="278">
        <f>MAX(M158:M158)</f>
        <v>45639</v>
      </c>
      <c r="N157" s="323">
        <f t="array" ref="N157">MAX(IF(W157:CI157&gt;0,$W$16:$CI$16))</f>
        <v>45667</v>
      </c>
      <c r="O157" s="314">
        <f>O158</f>
        <v>0.25</v>
      </c>
      <c r="P157" s="314">
        <f ca="1">SUMPRODUCT(P158:P158,U158:U158)/SUM(U158:U158)</f>
        <v>1</v>
      </c>
      <c r="Q157" s="256">
        <f t="shared" ca="1" si="34"/>
        <v>-0.75</v>
      </c>
      <c r="R157" s="262" t="s">
        <v>2060</v>
      </c>
      <c r="S157" s="280"/>
      <c r="T157" s="270"/>
      <c r="U157" s="270"/>
      <c r="V157" s="270"/>
      <c r="W157" s="281"/>
      <c r="X157" s="281"/>
      <c r="Y157" s="281"/>
      <c r="Z157" s="281"/>
      <c r="AA157" s="281"/>
      <c r="AB157" s="289"/>
      <c r="AC157" s="281"/>
      <c r="AD157" s="282"/>
      <c r="AE157" s="281"/>
      <c r="AF157" s="281"/>
      <c r="AG157" s="281"/>
      <c r="AH157" s="281"/>
      <c r="AI157" s="281"/>
      <c r="AJ157" s="281"/>
      <c r="AK157" s="281"/>
      <c r="AL157" s="281"/>
      <c r="AM157" s="281"/>
      <c r="AN157" s="281"/>
      <c r="AO157" s="281"/>
      <c r="AP157" s="281"/>
      <c r="AQ157" s="281"/>
      <c r="AR157" s="281"/>
      <c r="AS157" s="281"/>
      <c r="AT157" s="281"/>
      <c r="AU157" s="281"/>
      <c r="AV157" s="281"/>
      <c r="AW157" s="269"/>
      <c r="AX157" s="281"/>
      <c r="AY157" s="281"/>
      <c r="AZ157" s="281"/>
      <c r="BA157" s="281"/>
      <c r="BB157" s="281"/>
      <c r="BC157" s="281"/>
      <c r="BD157" s="281"/>
      <c r="BE157" s="281"/>
      <c r="BF157" s="281"/>
      <c r="BG157" s="281"/>
      <c r="BH157" s="281" t="s">
        <v>444</v>
      </c>
      <c r="BI157" s="281"/>
      <c r="BJ157" s="281"/>
      <c r="BK157" s="281"/>
      <c r="BL157" s="281"/>
      <c r="BN157" s="281"/>
      <c r="BO157" s="282"/>
      <c r="BP157" s="282"/>
      <c r="BQ157" s="282"/>
      <c r="BR157" s="282"/>
      <c r="BS157" s="282"/>
      <c r="BT157" s="282"/>
      <c r="BU157" s="282"/>
      <c r="BV157" s="281"/>
      <c r="BW157" s="281"/>
      <c r="BX157" s="281"/>
      <c r="BY157" s="281"/>
      <c r="BZ157" s="281"/>
      <c r="CA157" s="281"/>
      <c r="CB157" s="281" t="s">
        <v>444</v>
      </c>
      <c r="CC157" s="281"/>
      <c r="CD157" s="281"/>
      <c r="CE157" s="281"/>
      <c r="CF157" s="281"/>
      <c r="CG157" s="281"/>
      <c r="CH157" s="281"/>
      <c r="CI157" s="281"/>
    </row>
    <row r="158" spans="1:87" ht="16.2" hidden="1" outlineLevel="1">
      <c r="A158" s="274" t="str">
        <f>E158&amp;G158</f>
        <v>lt002_instrumentrsk_mtgtd_ccp</v>
      </c>
      <c r="B158" s="142" t="s">
        <v>26</v>
      </c>
      <c r="C158" s="138" t="s">
        <v>26</v>
      </c>
      <c r="D158" s="235" t="s">
        <v>40</v>
      </c>
      <c r="E158" s="238" t="s">
        <v>380</v>
      </c>
      <c r="F158" s="238"/>
      <c r="G158" s="238" t="s">
        <v>382</v>
      </c>
      <c r="H158" s="235" t="str">
        <f>VLOOKUP(A158,'2. Status Detalhe Campos'!$A$7:$G$574,7,0)</f>
        <v>4. Validação EF</v>
      </c>
      <c r="I158" s="285">
        <v>45595</v>
      </c>
      <c r="J158" s="324">
        <v>45624</v>
      </c>
      <c r="K158" s="330">
        <v>45624</v>
      </c>
      <c r="L158" s="290">
        <f t="array" ref="L158">MIN(IF(W158:CI158&gt;0,$W$16:$CI$16))</f>
        <v>45639</v>
      </c>
      <c r="M158" s="291">
        <f t="array" ref="M158">MAX(IF(W158:CI158&gt;0,$W$16:$CI$16))</f>
        <v>45639</v>
      </c>
      <c r="N158" s="291"/>
      <c r="O158" s="248">
        <f>VLOOKUP(H158,Auxiliar!$B$16:$E$24,4,0)</f>
        <v>0.25</v>
      </c>
      <c r="P158" s="248">
        <f ca="1">IF(TODAY()&lt;=L158,0,MIN((TODAY()-L158)/(M158-L158+1),100%))</f>
        <v>1</v>
      </c>
      <c r="Q158" s="248">
        <f t="shared" ca="1" si="34"/>
        <v>-0.75</v>
      </c>
      <c r="R158" s="261"/>
      <c r="S158" s="280"/>
      <c r="T158" s="270">
        <v>4.0999999999999996</v>
      </c>
      <c r="U158" s="270">
        <f>ROUND(T158/8,1)</f>
        <v>0.5</v>
      </c>
      <c r="V158" s="270">
        <f>SUM(W158:CI158)-U158</f>
        <v>0</v>
      </c>
      <c r="W158" s="281"/>
      <c r="X158" s="281"/>
      <c r="Y158" s="281"/>
      <c r="Z158" s="281"/>
      <c r="AA158" s="281"/>
      <c r="AB158" s="289"/>
      <c r="AC158" s="281"/>
      <c r="AD158" s="282"/>
      <c r="AE158" s="281"/>
      <c r="AF158" s="281"/>
      <c r="AG158" s="281"/>
      <c r="AH158" s="281"/>
      <c r="AI158" s="281"/>
      <c r="AJ158" s="281"/>
      <c r="AK158" s="281"/>
      <c r="AL158" s="281"/>
      <c r="AM158" s="281"/>
      <c r="AN158" s="281"/>
      <c r="AO158" s="281"/>
      <c r="AP158" s="281"/>
      <c r="AQ158" s="281"/>
      <c r="AR158" s="281"/>
      <c r="AS158" s="281"/>
      <c r="AT158" s="281"/>
      <c r="AU158" s="281"/>
      <c r="AV158" s="281"/>
      <c r="AW158" s="269"/>
      <c r="AX158" s="281"/>
      <c r="AY158" s="281"/>
      <c r="AZ158" s="281"/>
      <c r="BA158" s="281"/>
      <c r="BB158" s="281"/>
      <c r="BC158" s="281"/>
      <c r="BD158" s="281"/>
      <c r="BE158" s="281"/>
      <c r="BF158" s="281"/>
      <c r="BG158" s="281"/>
      <c r="BH158" s="281">
        <v>0.5</v>
      </c>
      <c r="BI158" s="281"/>
      <c r="BJ158" s="281"/>
      <c r="BK158" s="281"/>
      <c r="BL158" s="281"/>
      <c r="BM158" s="281"/>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5" customHeight="1" collapsed="1">
      <c r="A159" s="274"/>
      <c r="B159" s="142" t="s">
        <v>26</v>
      </c>
      <c r="C159" s="138" t="s">
        <v>26</v>
      </c>
      <c r="D159" s="134"/>
      <c r="E159" s="241" t="s">
        <v>1948</v>
      </c>
      <c r="F159" s="239" t="s">
        <v>1972</v>
      </c>
      <c r="G159" s="240">
        <f>COUNTA(G160:G162)</f>
        <v>3</v>
      </c>
      <c r="H159" s="295" t="s">
        <v>2005</v>
      </c>
      <c r="I159" s="278">
        <f>MAX(I160:I164)</f>
        <v>45646</v>
      </c>
      <c r="J159" s="277">
        <f>MIN(J160:J164)</f>
        <v>45624</v>
      </c>
      <c r="K159" s="329">
        <f>MIN(K160:K164)</f>
        <v>45624</v>
      </c>
      <c r="L159" s="278">
        <f>MIN(L160:L164)</f>
        <v>45630</v>
      </c>
      <c r="M159" s="278">
        <f>MAX(M160:M164)</f>
        <v>45667</v>
      </c>
      <c r="N159" s="323">
        <f t="array" ref="N159">MAX(IF(W159:CI159&gt;0,$W$16:$CI$16))</f>
        <v>45646</v>
      </c>
      <c r="O159" s="322">
        <f>SUMPRODUCT(O160:O162,U160:U162)/SUM(U160:U162)</f>
        <v>1</v>
      </c>
      <c r="P159" s="322">
        <f ca="1">SUMPRODUCT(P160:P162,U160:U162)/SUM(U160:U162)</f>
        <v>1</v>
      </c>
      <c r="Q159" s="247">
        <f t="shared" ca="1" si="34"/>
        <v>0</v>
      </c>
      <c r="R159" s="374" t="s">
        <v>2058</v>
      </c>
      <c r="S159" s="280"/>
      <c r="T159" s="270"/>
      <c r="U159" s="270"/>
      <c r="V159" s="270"/>
      <c r="W159" s="281"/>
      <c r="X159" s="281"/>
      <c r="Y159" s="281"/>
      <c r="Z159" s="289"/>
      <c r="AA159" s="281"/>
      <c r="AB159" s="281"/>
      <c r="AC159" s="281"/>
      <c r="AD159" s="282"/>
      <c r="AE159" s="281"/>
      <c r="AF159" s="281"/>
      <c r="AG159" s="281"/>
      <c r="AH159" s="289"/>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c r="BI159" s="281"/>
      <c r="BJ159" s="281"/>
      <c r="BK159" s="281"/>
      <c r="BL159" s="281"/>
      <c r="BM159" s="281" t="s">
        <v>444</v>
      </c>
      <c r="BN159" s="281"/>
      <c r="BO159" s="282"/>
      <c r="BP159" s="282"/>
      <c r="BQ159" s="282"/>
      <c r="BR159" s="282"/>
      <c r="BS159" s="282"/>
      <c r="BT159" s="282"/>
      <c r="BU159" s="282"/>
      <c r="BV159" s="281"/>
      <c r="BW159" s="281"/>
      <c r="BX159" s="281"/>
      <c r="BY159" s="281"/>
      <c r="BZ159" s="281"/>
      <c r="CA159" s="281"/>
      <c r="CB159" s="281"/>
      <c r="CC159" s="281"/>
      <c r="CD159" s="281"/>
      <c r="CE159" s="281"/>
      <c r="CF159" s="281"/>
      <c r="CG159" s="281"/>
      <c r="CH159" s="281"/>
      <c r="CI159" s="281"/>
    </row>
    <row r="160" spans="1:87" ht="16.2" hidden="1" outlineLevel="1">
      <c r="A160" s="274" t="str">
        <f>E160&amp;G160</f>
        <v>lt007_instr_activityenvrnmntl_objctv</v>
      </c>
      <c r="B160" s="142" t="s">
        <v>26</v>
      </c>
      <c r="C160" s="138" t="s">
        <v>26</v>
      </c>
      <c r="D160" s="235" t="s">
        <v>40</v>
      </c>
      <c r="E160" s="238" t="s">
        <v>1948</v>
      </c>
      <c r="F160" s="238"/>
      <c r="G160" s="238" t="s">
        <v>383</v>
      </c>
      <c r="H160" s="235" t="str">
        <f>VLOOKUP(A160,'2. Status Detalhe Campos'!$A$7:$G$574,7,0)</f>
        <v>1. Concluído</v>
      </c>
      <c r="I160" s="285">
        <v>45593</v>
      </c>
      <c r="J160" s="324">
        <v>45624</v>
      </c>
      <c r="K160" s="330">
        <v>45624</v>
      </c>
      <c r="L160" s="290">
        <f t="array" ref="L160">MIN(IF(W160:CI160&gt;0,$W$16:$CI$16))</f>
        <v>45642</v>
      </c>
      <c r="M160" s="291">
        <f t="array" ref="M160">MAX(IF(W160:CI160&gt;0,$W$16:$CI$16))</f>
        <v>45642</v>
      </c>
      <c r="N160" s="291"/>
      <c r="O160" s="248">
        <f>VLOOKUP(H160,Auxiliar!$B$16:$E$24,4,0)</f>
        <v>1</v>
      </c>
      <c r="P160" s="248">
        <f ca="1">IF(TODAY()&lt;=L160,0,MIN((TODAY()-L160)/(M160-L160+1),100%))</f>
        <v>1</v>
      </c>
      <c r="Q160" s="247">
        <f t="shared" ca="1" si="34"/>
        <v>0</v>
      </c>
      <c r="R160" s="262" t="s">
        <v>38</v>
      </c>
      <c r="S160" s="280"/>
      <c r="T160" s="270">
        <v>4.0999999999999996</v>
      </c>
      <c r="U160" s="270">
        <f>ROUND(T160/8,1)</f>
        <v>0.5</v>
      </c>
      <c r="V160" s="270">
        <f>SUM(W160:CI160)-U160</f>
        <v>0</v>
      </c>
      <c r="W160" s="281"/>
      <c r="X160" s="281"/>
      <c r="Y160" s="281"/>
      <c r="Z160" s="289"/>
      <c r="AA160" s="281"/>
      <c r="AB160" s="281"/>
      <c r="AC160" s="281"/>
      <c r="AD160" s="282"/>
      <c r="AE160" s="281"/>
      <c r="AF160" s="281"/>
      <c r="AG160" s="281"/>
      <c r="AH160" s="289"/>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c r="BI160" s="281">
        <v>0.5</v>
      </c>
      <c r="BJ160" s="281"/>
      <c r="BK160" s="281"/>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6.2" hidden="1" outlineLevel="1">
      <c r="A161" s="274" t="str">
        <f>E161&amp;G161</f>
        <v>lt007_instr_activitytyp_actvty</v>
      </c>
      <c r="B161" s="142" t="s">
        <v>26</v>
      </c>
      <c r="C161" s="138" t="s">
        <v>26</v>
      </c>
      <c r="D161" s="235" t="s">
        <v>40</v>
      </c>
      <c r="E161" s="238" t="s">
        <v>1948</v>
      </c>
      <c r="F161" s="238"/>
      <c r="G161" s="238" t="s">
        <v>384</v>
      </c>
      <c r="H161" s="235" t="str">
        <f>VLOOKUP(A161,'2. Status Detalhe Campos'!$A$7:$G$574,7,0)</f>
        <v>1. Concluído</v>
      </c>
      <c r="I161" s="285">
        <v>45593</v>
      </c>
      <c r="J161" s="324">
        <v>45624</v>
      </c>
      <c r="K161" s="330">
        <v>45624</v>
      </c>
      <c r="L161" s="290">
        <f t="array" ref="L161">MIN(IF(W161:CI161&gt;0,$W$16:$CI$16))</f>
        <v>45642</v>
      </c>
      <c r="M161" s="291">
        <f t="array" ref="M161">MAX(IF(W161:CI161&gt;0,$W$16:$CI$16))</f>
        <v>45642</v>
      </c>
      <c r="N161" s="291"/>
      <c r="O161" s="248">
        <f>VLOOKUP(H161,Auxiliar!$B$16:$E$24,4,0)</f>
        <v>1</v>
      </c>
      <c r="P161" s="248">
        <f ca="1">IF(TODAY()&lt;=L161,0,MIN((TODAY()-L161)/(M161-L161+1),100%))</f>
        <v>1</v>
      </c>
      <c r="Q161" s="247">
        <f t="shared" ca="1" si="34"/>
        <v>0</v>
      </c>
      <c r="R161" s="262" t="s">
        <v>38</v>
      </c>
      <c r="S161" s="280"/>
      <c r="T161" s="270">
        <v>4.0999999999999996</v>
      </c>
      <c r="U161" s="270">
        <f>ROUND(T161/8,1)</f>
        <v>0.5</v>
      </c>
      <c r="V161" s="270">
        <f>SUM(W161:CI161)-U161</f>
        <v>0</v>
      </c>
      <c r="W161" s="281"/>
      <c r="X161" s="281"/>
      <c r="Y161" s="281"/>
      <c r="Z161" s="289"/>
      <c r="AA161" s="281"/>
      <c r="AB161" s="281"/>
      <c r="AC161" s="281"/>
      <c r="AD161" s="282"/>
      <c r="AE161" s="281"/>
      <c r="AF161" s="281"/>
      <c r="AG161" s="281"/>
      <c r="AH161" s="281"/>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v>0.5</v>
      </c>
      <c r="BJ161" s="281"/>
      <c r="BK161" s="281"/>
      <c r="BL161" s="281"/>
      <c r="BM161" s="281"/>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6.2" hidden="1" outlineLevel="1">
      <c r="A162" s="274" t="str">
        <f>E162&amp;G162</f>
        <v>lt007_instr_activitysstnbl_indctr</v>
      </c>
      <c r="B162" s="142" t="s">
        <v>26</v>
      </c>
      <c r="C162" s="138" t="s">
        <v>26</v>
      </c>
      <c r="D162" s="235" t="s">
        <v>40</v>
      </c>
      <c r="E162" s="238" t="s">
        <v>1948</v>
      </c>
      <c r="F162" s="238"/>
      <c r="G162" s="238" t="s">
        <v>419</v>
      </c>
      <c r="H162" s="235" t="str">
        <f>VLOOKUP(A162,'2. Status Detalhe Campos'!$A$7:$G$574,7,0)</f>
        <v>1. Concluído</v>
      </c>
      <c r="I162" s="285">
        <v>45593</v>
      </c>
      <c r="J162" s="324">
        <v>45624</v>
      </c>
      <c r="K162" s="330">
        <v>45624</v>
      </c>
      <c r="L162" s="290">
        <f t="array" ref="L162">MIN(IF(W162:CI162&gt;0,$W$16:$CI$16))</f>
        <v>45644</v>
      </c>
      <c r="M162" s="291">
        <f t="array" ref="M162">MAX(IF(W162:CI162&gt;0,$W$16:$CI$16))</f>
        <v>45644</v>
      </c>
      <c r="N162" s="291"/>
      <c r="O162" s="248">
        <f>VLOOKUP(H162,Auxiliar!$B$16:$E$24,4,0)</f>
        <v>1</v>
      </c>
      <c r="P162" s="248">
        <f ca="1">IF(TODAY()&lt;=L162,0,MIN((TODAY()-L162)/(M162-L162+1),100%))</f>
        <v>1</v>
      </c>
      <c r="Q162" s="247">
        <f t="shared" ca="1" si="34"/>
        <v>0</v>
      </c>
      <c r="R162" s="262" t="s">
        <v>38</v>
      </c>
      <c r="S162" s="280"/>
      <c r="T162" s="299">
        <v>4.0999999999999996</v>
      </c>
      <c r="U162" s="270">
        <f>ROUND(T162/8,1)</f>
        <v>0.5</v>
      </c>
      <c r="V162" s="270">
        <f>SUM(W162:CI162)-U162</f>
        <v>0</v>
      </c>
      <c r="W162" s="281"/>
      <c r="X162" s="281"/>
      <c r="Y162" s="281"/>
      <c r="Z162" s="289"/>
      <c r="AA162" s="281"/>
      <c r="AB162" s="281"/>
      <c r="AC162" s="281"/>
      <c r="AD162" s="282"/>
      <c r="AE162" s="281"/>
      <c r="AF162" s="281"/>
      <c r="AG162" s="281"/>
      <c r="AH162" s="281"/>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c r="BJ162" s="281"/>
      <c r="BK162" s="281">
        <v>0.5</v>
      </c>
      <c r="BL162" s="281"/>
      <c r="BM162" s="281"/>
      <c r="BN162" s="281"/>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5" customHeight="1" collapsed="1">
      <c r="A163" s="274"/>
      <c r="B163" s="142" t="s">
        <v>26</v>
      </c>
      <c r="C163" s="138" t="s">
        <v>26</v>
      </c>
      <c r="D163" s="134"/>
      <c r="E163" s="241" t="s">
        <v>1948</v>
      </c>
      <c r="F163" s="239" t="s">
        <v>2065</v>
      </c>
      <c r="G163" s="240">
        <f>COUNTA(G164)</f>
        <v>1</v>
      </c>
      <c r="H163" s="294" t="s">
        <v>2059</v>
      </c>
      <c r="I163" s="278">
        <f>MAX(I164:I170)</f>
        <v>45646</v>
      </c>
      <c r="J163" s="277">
        <f>MIN(J164:J170)</f>
        <v>45624</v>
      </c>
      <c r="K163" s="329">
        <f>MIN(K164:K170)</f>
        <v>45624</v>
      </c>
      <c r="L163" s="278">
        <f>MIN(L164:L170)</f>
        <v>45630</v>
      </c>
      <c r="M163" s="278">
        <f>MAX(M164:M170)</f>
        <v>45667</v>
      </c>
      <c r="N163" s="323">
        <f t="array" ref="N163">MAX(IF(W163:CI163&gt;0,$W$16:$CI$16))</f>
        <v>45667</v>
      </c>
      <c r="O163" s="314">
        <f>O164</f>
        <v>0.25</v>
      </c>
      <c r="P163" s="314">
        <f ca="1">P164</f>
        <v>1</v>
      </c>
      <c r="Q163" s="247">
        <f ca="1">O163-P163</f>
        <v>-0.75</v>
      </c>
      <c r="R163" s="262" t="s">
        <v>2060</v>
      </c>
      <c r="S163" s="280"/>
      <c r="T163" s="270"/>
      <c r="U163" s="270"/>
      <c r="V163" s="270"/>
      <c r="W163" s="281"/>
      <c r="X163" s="281"/>
      <c r="Y163" s="281"/>
      <c r="Z163" s="289"/>
      <c r="AA163" s="281"/>
      <c r="AB163" s="281"/>
      <c r="AC163" s="281"/>
      <c r="AD163" s="282"/>
      <c r="AE163" s="281"/>
      <c r="AF163" s="281"/>
      <c r="AG163" s="281"/>
      <c r="AH163" s="289"/>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c r="BJ163" s="281"/>
      <c r="BK163" s="281"/>
      <c r="BL163" s="281"/>
      <c r="BM163" s="281" t="s">
        <v>444</v>
      </c>
      <c r="BN163" s="281"/>
      <c r="BO163" s="282"/>
      <c r="BP163" s="282"/>
      <c r="BQ163" s="282"/>
      <c r="BR163" s="282"/>
      <c r="BS163" s="282"/>
      <c r="BT163" s="282"/>
      <c r="BU163" s="282"/>
      <c r="BV163" s="281"/>
      <c r="BW163" s="281"/>
      <c r="BX163" s="281"/>
      <c r="BY163" s="281"/>
      <c r="BZ163" s="281"/>
      <c r="CA163" s="281"/>
      <c r="CB163" s="281" t="s">
        <v>2063</v>
      </c>
      <c r="CC163" s="281"/>
      <c r="CD163" s="281"/>
      <c r="CE163" s="281"/>
      <c r="CF163" s="281"/>
      <c r="CG163" s="281"/>
      <c r="CH163" s="281"/>
      <c r="CI163" s="281"/>
    </row>
    <row r="164" spans="1:87" ht="16.2" hidden="1" outlineLevel="1">
      <c r="A164" s="274" t="str">
        <f>E164&amp;G164</f>
        <v>lt007_instr_activitysstnbl_ctgry</v>
      </c>
      <c r="B164" s="142" t="s">
        <v>26</v>
      </c>
      <c r="C164" s="138" t="s">
        <v>26</v>
      </c>
      <c r="D164" s="235" t="s">
        <v>40</v>
      </c>
      <c r="E164" s="238" t="s">
        <v>1948</v>
      </c>
      <c r="F164" s="238"/>
      <c r="G164" s="238" t="s">
        <v>420</v>
      </c>
      <c r="H164" s="235" t="str">
        <f>VLOOKUP(A164,'2. Status Detalhe Campos'!$A$7:$G$574,7,0)</f>
        <v>4. Validação EF</v>
      </c>
      <c r="I164" s="285">
        <v>45593</v>
      </c>
      <c r="J164" s="324">
        <v>45624</v>
      </c>
      <c r="K164" s="330">
        <v>45624</v>
      </c>
      <c r="L164" s="290">
        <f t="array" ref="L164">MIN(IF(W164:CI164&gt;0,$W$16:$CI$16))</f>
        <v>45644</v>
      </c>
      <c r="M164" s="291">
        <f t="array" ref="M164">MAX(IF(W164:CI164&gt;0,$W$16:$CI$16))</f>
        <v>45644</v>
      </c>
      <c r="N164" s="291"/>
      <c r="O164" s="248">
        <f>VLOOKUP(H164,Auxiliar!$B$16:$E$24,4,0)</f>
        <v>0.25</v>
      </c>
      <c r="P164" s="248">
        <f ca="1">IF(TODAY()&lt;=L164,0,MIN((TODAY()-L164)/(M164-L164+1),100%))</f>
        <v>1</v>
      </c>
      <c r="Q164" s="247">
        <f t="shared" ca="1" si="34"/>
        <v>-0.75</v>
      </c>
      <c r="R164" s="262" t="s">
        <v>38</v>
      </c>
      <c r="S164" s="280"/>
      <c r="T164" s="299">
        <v>4.0999999999999996</v>
      </c>
      <c r="U164" s="270">
        <f>ROUND(T164/8,1)</f>
        <v>0.5</v>
      </c>
      <c r="V164" s="270">
        <f>SUM(W164:CI164)-U164</f>
        <v>0</v>
      </c>
      <c r="W164" s="281"/>
      <c r="X164" s="281"/>
      <c r="Y164" s="281"/>
      <c r="Z164" s="289"/>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c r="BJ164" s="281"/>
      <c r="BK164" s="281">
        <v>0.5</v>
      </c>
      <c r="BL164" s="281"/>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5" customHeight="1" collapsed="1">
      <c r="A165" s="274"/>
      <c r="B165" s="142" t="s">
        <v>26</v>
      </c>
      <c r="C165" s="138" t="s">
        <v>26</v>
      </c>
      <c r="D165" s="134"/>
      <c r="E165" s="241" t="s">
        <v>369</v>
      </c>
      <c r="F165" s="239" t="s">
        <v>1994</v>
      </c>
      <c r="G165" s="240">
        <f>COUNTA(G166:G167)</f>
        <v>2</v>
      </c>
      <c r="H165" s="275" t="s">
        <v>2011</v>
      </c>
      <c r="I165" s="278">
        <f>MAX(I166:I171)</f>
        <v>45646</v>
      </c>
      <c r="J165" s="277">
        <f>MIN(J166:J171)</f>
        <v>45624</v>
      </c>
      <c r="K165" s="329">
        <f>MIN(K166:K171)</f>
        <v>45624</v>
      </c>
      <c r="L165" s="277">
        <f>MIN(L166:L171)</f>
        <v>45630</v>
      </c>
      <c r="M165" s="278">
        <f>MAX(M166:M171)</f>
        <v>45667</v>
      </c>
      <c r="N165" s="323">
        <f t="array" ref="N165">MAX(IF(W165:CI165&gt;0,$W$16:$CI$16))</f>
        <v>45667</v>
      </c>
      <c r="O165" s="314">
        <f>SUMPRODUCT(O166:O167,U166:U167)/SUM(U166:U167)</f>
        <v>1</v>
      </c>
      <c r="P165" s="314">
        <f ca="1">SUMPRODUCT(P166:P167,U166:U167)/SUM(U166:U167)</f>
        <v>1</v>
      </c>
      <c r="Q165" s="247">
        <f t="shared" ref="Q165:Q186" ca="1" si="43">O165-P165</f>
        <v>0</v>
      </c>
      <c r="R165" s="262" t="s">
        <v>2056</v>
      </c>
      <c r="S165" s="280"/>
      <c r="T165" s="270"/>
      <c r="U165" s="270"/>
      <c r="V165" s="270"/>
      <c r="W165" s="281"/>
      <c r="X165" s="281"/>
      <c r="Y165" s="281"/>
      <c r="Z165" s="281"/>
      <c r="AA165" s="281"/>
      <c r="AB165" s="281"/>
      <c r="AC165" s="281"/>
      <c r="AD165" s="282"/>
      <c r="AE165" s="281"/>
      <c r="AF165" s="281"/>
      <c r="AG165" s="281"/>
      <c r="AH165" s="281"/>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c r="BN165" s="326"/>
      <c r="BO165" s="282"/>
      <c r="BP165" s="282"/>
      <c r="BQ165" s="282"/>
      <c r="BR165" s="282"/>
      <c r="BS165" s="282"/>
      <c r="BT165" s="282"/>
      <c r="BU165" s="282"/>
      <c r="BV165" s="281"/>
      <c r="BW165" s="281"/>
      <c r="BX165" s="281"/>
      <c r="BY165" s="281"/>
      <c r="BZ165" s="281"/>
      <c r="CA165" s="281"/>
      <c r="CB165" s="281" t="s">
        <v>444</v>
      </c>
      <c r="CC165" s="281"/>
      <c r="CD165" s="281"/>
      <c r="CE165" s="281"/>
      <c r="CF165" s="281"/>
      <c r="CG165" s="281"/>
      <c r="CH165" s="281"/>
      <c r="CI165" s="281"/>
    </row>
    <row r="166" spans="1:87" ht="16.2" hidden="1" outlineLevel="1">
      <c r="A166" s="274" t="str">
        <f t="shared" ref="A166:A171" si="44">E166&amp;G166</f>
        <v>lt004_protectionprtctn_vl</v>
      </c>
      <c r="B166" s="142" t="s">
        <v>26</v>
      </c>
      <c r="C166" s="138" t="s">
        <v>26</v>
      </c>
      <c r="D166" s="235" t="s">
        <v>40</v>
      </c>
      <c r="E166" s="238" t="s">
        <v>369</v>
      </c>
      <c r="F166" s="238"/>
      <c r="G166" s="238" t="s">
        <v>439</v>
      </c>
      <c r="H166" s="235" t="str">
        <f>VLOOKUP(A166,'2. Status Detalhe Campos'!$A$7:$G$574,7,0)</f>
        <v>1. Concluído</v>
      </c>
      <c r="I166" s="285">
        <v>45588</v>
      </c>
      <c r="J166" s="324">
        <v>45624</v>
      </c>
      <c r="K166" s="330">
        <v>45624</v>
      </c>
      <c r="L166" s="290">
        <f t="array" ref="L166">MIN(IF(W166:CI166&gt;0,$W$16:$CI$16))</f>
        <v>45642</v>
      </c>
      <c r="M166" s="291">
        <f t="array" ref="M166">MAX(IF(W166:CI166&gt;0,$W$16:$CI$16))</f>
        <v>45642</v>
      </c>
      <c r="N166" s="291"/>
      <c r="O166" s="248">
        <f>VLOOKUP(H166,Auxiliar!$B$16:$E$24,4,0)</f>
        <v>1</v>
      </c>
      <c r="P166" s="248">
        <f t="shared" ref="P166:P171" ca="1" si="45">IF(TODAY()&lt;=L166,0,MIN((TODAY()-L166)/(M166-L166+1),100%))</f>
        <v>1</v>
      </c>
      <c r="Q166" s="247">
        <f t="shared" ca="1" si="43"/>
        <v>0</v>
      </c>
      <c r="R166" s="262" t="s">
        <v>38</v>
      </c>
      <c r="S166" s="280"/>
      <c r="T166" s="299">
        <v>4.0999999999999996</v>
      </c>
      <c r="U166" s="270">
        <f t="shared" ref="U166:U171" si="46">ROUND(T166/8,1)</f>
        <v>0.5</v>
      </c>
      <c r="V166" s="270">
        <f>SUM(W166:CI166)-U166</f>
        <v>0</v>
      </c>
      <c r="W166" s="297"/>
      <c r="X166" s="289"/>
      <c r="Y166" s="281"/>
      <c r="Z166" s="281"/>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v>0.5</v>
      </c>
      <c r="BJ166" s="281"/>
      <c r="BK166" s="281"/>
      <c r="BL166" s="281"/>
      <c r="BM166" s="281"/>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6.2" hidden="1" outlineLevel="1">
      <c r="A167" s="274" t="str">
        <f>E167&amp;G167</f>
        <v>lt004_protectionflg_col</v>
      </c>
      <c r="B167" s="142" t="s">
        <v>26</v>
      </c>
      <c r="C167" s="138" t="s">
        <v>26</v>
      </c>
      <c r="D167" s="235" t="s">
        <v>40</v>
      </c>
      <c r="E167" s="238" t="s">
        <v>369</v>
      </c>
      <c r="F167" s="238"/>
      <c r="G167" s="238" t="s">
        <v>480</v>
      </c>
      <c r="H167" s="235" t="str">
        <f>VLOOKUP(A167,'2. Status Detalhe Campos'!$A$7:$G$574,7,0)</f>
        <v>1. Concluído</v>
      </c>
      <c r="I167" s="276">
        <v>45593</v>
      </c>
      <c r="J167" s="324">
        <v>45624</v>
      </c>
      <c r="K167" s="330">
        <v>45624</v>
      </c>
      <c r="L167" s="290">
        <f t="array" ref="L167">MIN(IF(W167:CI167&gt;0,$W$16:$CI$16))</f>
        <v>45646</v>
      </c>
      <c r="M167" s="291">
        <f t="array" ref="M167">MAX(IF(W167:CI167&gt;0,$W$16:$CI$16))</f>
        <v>45646</v>
      </c>
      <c r="N167" s="291"/>
      <c r="O167" s="248">
        <f>VLOOKUP(H167,Auxiliar!$B$16:$E$24,4,0)</f>
        <v>1</v>
      </c>
      <c r="P167" s="248">
        <f ca="1">IF(TODAY()&lt;=L167,0,MIN((TODAY()-L167)/(M167-L167+1),100%))</f>
        <v>1</v>
      </c>
      <c r="Q167" s="247">
        <f ca="1">O167-P167</f>
        <v>0</v>
      </c>
      <c r="R167" s="262" t="s">
        <v>38</v>
      </c>
      <c r="S167" s="280"/>
      <c r="T167" s="270">
        <v>4.0999999999999996</v>
      </c>
      <c r="U167" s="270">
        <f>ROUND(T167/8,1)</f>
        <v>0.5</v>
      </c>
      <c r="V167" s="270">
        <f>SUM(W167:CI167)-U167</f>
        <v>0</v>
      </c>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M167" s="281">
        <v>0.5</v>
      </c>
      <c r="BN167" s="281"/>
      <c r="BO167" s="282"/>
      <c r="BP167" s="282"/>
      <c r="BQ167" s="282"/>
      <c r="BR167" s="282"/>
      <c r="BS167" s="282"/>
      <c r="BT167" s="282"/>
      <c r="BU167" s="282"/>
      <c r="BV167" s="281"/>
      <c r="BW167" s="281"/>
      <c r="BX167" s="281"/>
      <c r="BY167" s="281"/>
      <c r="BZ167" s="281"/>
      <c r="CA167" s="281"/>
      <c r="CB167" s="281"/>
      <c r="CC167" s="281"/>
      <c r="CD167" s="281"/>
      <c r="CE167" s="281"/>
      <c r="CF167" s="281"/>
      <c r="CG167" s="281"/>
      <c r="CH167" s="281"/>
      <c r="CI167" s="281"/>
    </row>
    <row r="168" spans="1:87" ht="15" customHeight="1" collapsed="1">
      <c r="A168" s="274"/>
      <c r="B168" s="142" t="s">
        <v>26</v>
      </c>
      <c r="C168" s="138" t="s">
        <v>26</v>
      </c>
      <c r="D168" s="134"/>
      <c r="E168" s="241" t="s">
        <v>369</v>
      </c>
      <c r="F168" s="239" t="s">
        <v>1994</v>
      </c>
      <c r="G168" s="240">
        <f>COUNTA(G169:G171)</f>
        <v>3</v>
      </c>
      <c r="H168" s="295" t="s">
        <v>2005</v>
      </c>
      <c r="I168" s="278">
        <f>MAX(I169:M171)</f>
        <v>45646</v>
      </c>
      <c r="J168" s="277">
        <f>MIN(J169:J174)</f>
        <v>45624</v>
      </c>
      <c r="K168" s="329">
        <f>MIN(K169:K174)</f>
        <v>45624</v>
      </c>
      <c r="L168" s="277">
        <f>MIN(L169:L174)</f>
        <v>45630</v>
      </c>
      <c r="M168" s="278">
        <f>MAX(M169:M174)</f>
        <v>45667</v>
      </c>
      <c r="N168" s="323">
        <f t="array" ref="N168">MAX(IF(W168:CI168&gt;0,$W$16:$CI$16))</f>
        <v>45646</v>
      </c>
      <c r="O168" s="322">
        <f>SUMPRODUCT(O169:O172,U169:U172)/SUM(U169:U172)</f>
        <v>1</v>
      </c>
      <c r="P168" s="322">
        <f ca="1">SUMPRODUCT(P169:P172,U169:U172)/SUM(U169:U172)</f>
        <v>1</v>
      </c>
      <c r="Q168" s="247">
        <f ca="1">O168-P168</f>
        <v>0</v>
      </c>
      <c r="R168" s="374" t="s">
        <v>2058</v>
      </c>
      <c r="S168" s="280"/>
      <c r="T168" s="270"/>
      <c r="U168" s="270"/>
      <c r="V168" s="270"/>
      <c r="W168" s="281"/>
      <c r="X168" s="281"/>
      <c r="Y168" s="281"/>
      <c r="Z168" s="281"/>
      <c r="AA168" s="281"/>
      <c r="AB168" s="281"/>
      <c r="AC168" s="281"/>
      <c r="AD168" s="282"/>
      <c r="AE168" s="281"/>
      <c r="AF168" s="281"/>
      <c r="AG168" s="281"/>
      <c r="AH168" s="281"/>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c r="BJ168" s="281"/>
      <c r="BK168" s="281"/>
      <c r="BL168" s="281"/>
      <c r="BM168" s="281" t="s">
        <v>444</v>
      </c>
      <c r="BN168" s="326"/>
      <c r="BO168" s="282"/>
      <c r="BP168" s="282"/>
      <c r="BQ168" s="282"/>
      <c r="BR168" s="282"/>
      <c r="BS168" s="282"/>
      <c r="BT168" s="282"/>
      <c r="BU168" s="282"/>
      <c r="BV168" s="281"/>
      <c r="BW168" s="281"/>
      <c r="BX168" s="281"/>
      <c r="BY168" s="281"/>
      <c r="BZ168" s="281"/>
      <c r="CA168" s="281"/>
      <c r="CB168" s="281"/>
      <c r="CC168" s="281"/>
      <c r="CD168" s="281"/>
      <c r="CE168" s="281"/>
      <c r="CF168" s="281"/>
      <c r="CG168" s="281"/>
      <c r="CH168" s="281"/>
      <c r="CI168" s="281"/>
    </row>
    <row r="169" spans="1:87" ht="16.2" hidden="1" outlineLevel="1">
      <c r="A169" s="274" t="str">
        <f t="shared" si="44"/>
        <v>lt004_protectionflg_fin</v>
      </c>
      <c r="B169" s="142" t="s">
        <v>26</v>
      </c>
      <c r="C169" s="138" t="s">
        <v>26</v>
      </c>
      <c r="D169" s="235" t="s">
        <v>40</v>
      </c>
      <c r="E169" s="238" t="s">
        <v>369</v>
      </c>
      <c r="F169" s="238"/>
      <c r="G169" s="238" t="s">
        <v>481</v>
      </c>
      <c r="H169" s="235" t="str">
        <f>VLOOKUP(A169,'2. Status Detalhe Campos'!$A$7:$G$574,7,0)</f>
        <v>1. Concluído</v>
      </c>
      <c r="I169" s="276">
        <v>45593</v>
      </c>
      <c r="J169" s="324">
        <v>45624</v>
      </c>
      <c r="K169" s="330">
        <v>45624</v>
      </c>
      <c r="L169" s="290">
        <f t="array" ref="L169">MIN(IF(W169:CI169&gt;0,$W$16:$CI$16))</f>
        <v>45645</v>
      </c>
      <c r="M169" s="291">
        <f t="array" ref="M169">MAX(IF(W169:CI169&gt;0,$W$16:$CI$16))</f>
        <v>45645</v>
      </c>
      <c r="N169" s="291"/>
      <c r="O169" s="248">
        <f>VLOOKUP(H169,Auxiliar!$B$16:$E$24,4,0)</f>
        <v>1</v>
      </c>
      <c r="P169" s="248">
        <f t="shared" ca="1" si="45"/>
        <v>1</v>
      </c>
      <c r="Q169" s="247">
        <f t="shared" ca="1" si="43"/>
        <v>0</v>
      </c>
      <c r="R169" s="262" t="s">
        <v>38</v>
      </c>
      <c r="S169" s="280"/>
      <c r="T169" s="270">
        <v>4.0999999999999996</v>
      </c>
      <c r="U169" s="270">
        <f t="shared" si="46"/>
        <v>0.5</v>
      </c>
      <c r="V169" s="270">
        <f>SUM(W169:CI169)-U169</f>
        <v>0</v>
      </c>
      <c r="W169" s="281"/>
      <c r="X169" s="281"/>
      <c r="Y169" s="281"/>
      <c r="Z169" s="281"/>
      <c r="AA169" s="281"/>
      <c r="AB169" s="281"/>
      <c r="AC169" s="281"/>
      <c r="AD169" s="282"/>
      <c r="AE169" s="281"/>
      <c r="AF169" s="281"/>
      <c r="AG169" s="281"/>
      <c r="AH169" s="281"/>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v>0.5</v>
      </c>
      <c r="BM169" s="281"/>
      <c r="BN169" s="281"/>
      <c r="BO169" s="282"/>
      <c r="BP169" s="282"/>
      <c r="BQ169" s="282"/>
      <c r="BR169" s="282"/>
      <c r="BS169" s="282"/>
      <c r="BT169" s="282"/>
      <c r="BU169" s="282"/>
      <c r="BV169" s="281"/>
      <c r="BW169" s="281"/>
      <c r="BX169" s="281"/>
      <c r="BY169" s="281"/>
      <c r="BZ169" s="281"/>
      <c r="CA169" s="281"/>
      <c r="CB169" s="281"/>
      <c r="CC169" s="281"/>
      <c r="CD169" s="281"/>
      <c r="CE169" s="281"/>
      <c r="CF169" s="281"/>
      <c r="CG169" s="281"/>
      <c r="CH169" s="281"/>
      <c r="CI169" s="281"/>
    </row>
    <row r="170" spans="1:87" ht="16.2" hidden="1" outlineLevel="1">
      <c r="A170" s="274" t="str">
        <f t="shared" si="44"/>
        <v>lt004_protectionflg_exec</v>
      </c>
      <c r="B170" s="142" t="s">
        <v>26</v>
      </c>
      <c r="C170" s="138" t="s">
        <v>26</v>
      </c>
      <c r="D170" s="235" t="s">
        <v>40</v>
      </c>
      <c r="E170" s="238" t="s">
        <v>369</v>
      </c>
      <c r="F170" s="238"/>
      <c r="G170" s="238" t="s">
        <v>1355</v>
      </c>
      <c r="H170" s="235" t="str">
        <f>VLOOKUP(A170,'2. Status Detalhe Campos'!$A$7:$G$574,7,0)</f>
        <v>1. Concluído</v>
      </c>
      <c r="I170" s="276">
        <v>45593</v>
      </c>
      <c r="J170" s="324">
        <v>45624</v>
      </c>
      <c r="K170" s="330">
        <v>45624</v>
      </c>
      <c r="L170" s="290">
        <f t="array" ref="L170">MIN(IF(W170:CI170&gt;0,$W$16:$CI$16))</f>
        <v>45645</v>
      </c>
      <c r="M170" s="291">
        <f t="array" ref="M170">MAX(IF(W170:CI170&gt;0,$W$16:$CI$16))</f>
        <v>45645</v>
      </c>
      <c r="N170" s="291"/>
      <c r="O170" s="248">
        <f>VLOOKUP(H170,Auxiliar!$B$16:$E$24,4,0)</f>
        <v>1</v>
      </c>
      <c r="P170" s="248">
        <f t="shared" ca="1" si="45"/>
        <v>1</v>
      </c>
      <c r="Q170" s="247">
        <f t="shared" ca="1" si="43"/>
        <v>0</v>
      </c>
      <c r="R170" s="262" t="s">
        <v>38</v>
      </c>
      <c r="S170" s="280"/>
      <c r="T170" s="270">
        <v>4.0999999999999996</v>
      </c>
      <c r="U170" s="270">
        <f t="shared" si="46"/>
        <v>0.5</v>
      </c>
      <c r="V170" s="270">
        <f>SUM(W170:CI170)-U170</f>
        <v>0</v>
      </c>
      <c r="W170" s="281"/>
      <c r="X170" s="281"/>
      <c r="Y170" s="281"/>
      <c r="Z170" s="281"/>
      <c r="AA170" s="281"/>
      <c r="AB170" s="281"/>
      <c r="AC170" s="281"/>
      <c r="AD170" s="282"/>
      <c r="AE170" s="281"/>
      <c r="AF170" s="281"/>
      <c r="AG170" s="281"/>
      <c r="AH170" s="281"/>
      <c r="AI170" s="281"/>
      <c r="AJ170" s="281"/>
      <c r="AK170" s="281"/>
      <c r="AL170" s="281"/>
      <c r="AM170" s="281"/>
      <c r="AN170" s="281"/>
      <c r="AO170" s="281"/>
      <c r="AP170" s="281"/>
      <c r="AQ170" s="281"/>
      <c r="AR170" s="281"/>
      <c r="AS170" s="281"/>
      <c r="AT170" s="281"/>
      <c r="AU170" s="281"/>
      <c r="AV170" s="281"/>
      <c r="AW170" s="269"/>
      <c r="AX170" s="281"/>
      <c r="AY170" s="281"/>
      <c r="AZ170" s="281"/>
      <c r="BA170" s="281"/>
      <c r="BB170" s="281"/>
      <c r="BC170" s="281"/>
      <c r="BD170" s="281"/>
      <c r="BE170" s="281"/>
      <c r="BF170" s="281"/>
      <c r="BG170" s="281"/>
      <c r="BH170" s="281"/>
      <c r="BI170" s="281"/>
      <c r="BJ170" s="281"/>
      <c r="BK170" s="281"/>
      <c r="BL170" s="281">
        <v>0.5</v>
      </c>
      <c r="BM170" s="281"/>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6.2" hidden="1" outlineLevel="1">
      <c r="A171" s="274" t="str">
        <f t="shared" si="44"/>
        <v>lt004_protectionflg_pro</v>
      </c>
      <c r="B171" s="142" t="s">
        <v>26</v>
      </c>
      <c r="C171" s="138" t="s">
        <v>26</v>
      </c>
      <c r="D171" s="235" t="s">
        <v>40</v>
      </c>
      <c r="E171" s="238" t="s">
        <v>369</v>
      </c>
      <c r="F171" s="238"/>
      <c r="G171" s="238" t="s">
        <v>482</v>
      </c>
      <c r="H171" s="235" t="str">
        <f>VLOOKUP(A171,'2. Status Detalhe Campos'!$A$7:$G$574,7,0)</f>
        <v>1. Concluído</v>
      </c>
      <c r="I171" s="276">
        <v>45593</v>
      </c>
      <c r="J171" s="324">
        <v>45624</v>
      </c>
      <c r="K171" s="330">
        <v>45624</v>
      </c>
      <c r="L171" s="290">
        <f t="array" ref="L171">MIN(IF(W171:CI171&gt;0,$W$16:$CI$16))</f>
        <v>45646</v>
      </c>
      <c r="M171" s="291">
        <f t="array" ref="M171">MAX(IF(W171:CI171&gt;0,$W$16:$CI$16))</f>
        <v>45646</v>
      </c>
      <c r="N171" s="291"/>
      <c r="O171" s="248">
        <f>VLOOKUP(H171,Auxiliar!$B$16:$E$24,4,0)</f>
        <v>1</v>
      </c>
      <c r="P171" s="248">
        <f t="shared" ca="1" si="45"/>
        <v>1</v>
      </c>
      <c r="Q171" s="247">
        <f t="shared" ca="1" si="43"/>
        <v>0</v>
      </c>
      <c r="R171" s="262" t="s">
        <v>38</v>
      </c>
      <c r="S171" s="280"/>
      <c r="T171" s="270">
        <v>4.0999999999999996</v>
      </c>
      <c r="U171" s="270">
        <f t="shared" si="46"/>
        <v>0.5</v>
      </c>
      <c r="V171" s="270">
        <f>SUM(W171:CI171)-U171</f>
        <v>0</v>
      </c>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69"/>
      <c r="AX171" s="281"/>
      <c r="AY171" s="281"/>
      <c r="AZ171" s="281"/>
      <c r="BA171" s="281"/>
      <c r="BB171" s="281"/>
      <c r="BC171" s="281"/>
      <c r="BD171" s="281"/>
      <c r="BE171" s="281"/>
      <c r="BF171" s="281"/>
      <c r="BG171" s="281"/>
      <c r="BH171" s="281"/>
      <c r="BI171" s="281"/>
      <c r="BJ171" s="281"/>
      <c r="BK171" s="281"/>
      <c r="BL171" s="281"/>
      <c r="BM171" s="281">
        <v>0.5</v>
      </c>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5" customHeight="1" collapsed="1">
      <c r="A172" s="274"/>
      <c r="B172" s="142" t="s">
        <v>26</v>
      </c>
      <c r="C172" s="138" t="s">
        <v>26</v>
      </c>
      <c r="D172" s="134"/>
      <c r="E172" s="241" t="s">
        <v>369</v>
      </c>
      <c r="F172" s="239" t="s">
        <v>2062</v>
      </c>
      <c r="G172" s="240">
        <f>COUNTA(G173)</f>
        <v>1</v>
      </c>
      <c r="H172" s="275" t="s">
        <v>2011</v>
      </c>
      <c r="I172" s="304">
        <f>MIN(I173)</f>
        <v>45603</v>
      </c>
      <c r="J172" s="277">
        <f>MIN(J173)</f>
        <v>45624</v>
      </c>
      <c r="K172" s="329">
        <f>MIN(K173)</f>
        <v>45624</v>
      </c>
      <c r="L172" s="277">
        <f>MIN(L173)</f>
        <v>45645</v>
      </c>
      <c r="M172" s="278">
        <f>MAX(M173)</f>
        <v>45645</v>
      </c>
      <c r="N172" s="323">
        <f t="array" ref="N172">MAX(IF(W172:CI172&gt;0,$W$16:$CI$16))</f>
        <v>45667</v>
      </c>
      <c r="O172" s="314">
        <f>O173</f>
        <v>1</v>
      </c>
      <c r="P172" s="314">
        <f ca="1">P173</f>
        <v>1</v>
      </c>
      <c r="Q172" s="247">
        <f t="shared" ca="1" si="43"/>
        <v>0</v>
      </c>
      <c r="R172" s="262" t="s">
        <v>2052</v>
      </c>
      <c r="S172" s="280"/>
      <c r="T172" s="270"/>
      <c r="U172" s="270"/>
      <c r="V172" s="270"/>
      <c r="W172" s="281"/>
      <c r="X172" s="281"/>
      <c r="Y172" s="281"/>
      <c r="Z172" s="281"/>
      <c r="AA172" s="281"/>
      <c r="AB172" s="281"/>
      <c r="AC172" s="281"/>
      <c r="AD172" s="282"/>
      <c r="AE172" s="281"/>
      <c r="AF172" s="281"/>
      <c r="AG172" s="281"/>
      <c r="AH172" s="289"/>
      <c r="AI172" s="281"/>
      <c r="AJ172" s="281"/>
      <c r="AK172" s="281"/>
      <c r="AL172" s="281"/>
      <c r="AM172" s="281"/>
      <c r="AN172" s="281"/>
      <c r="AO172" s="281"/>
      <c r="AP172" s="281"/>
      <c r="AQ172" s="281"/>
      <c r="AR172" s="281"/>
      <c r="AS172" s="281"/>
      <c r="AT172" s="281"/>
      <c r="AU172" s="281"/>
      <c r="AV172" s="281"/>
      <c r="AW172" s="269"/>
      <c r="AX172" s="281"/>
      <c r="AY172" s="281"/>
      <c r="AZ172" s="281"/>
      <c r="BA172" s="281"/>
      <c r="BB172" s="281"/>
      <c r="BC172" s="281"/>
      <c r="BD172" s="281"/>
      <c r="BE172" s="281"/>
      <c r="BF172" s="281"/>
      <c r="BG172" s="281"/>
      <c r="BH172" s="281"/>
      <c r="BI172" s="281"/>
      <c r="BJ172" s="281"/>
      <c r="BK172" s="281"/>
      <c r="BL172" s="281"/>
      <c r="BM172" s="281" t="s">
        <v>444</v>
      </c>
      <c r="BN172" s="281"/>
      <c r="BO172" s="282"/>
      <c r="BP172" s="282"/>
      <c r="BQ172" s="282"/>
      <c r="BR172" s="282"/>
      <c r="BS172" s="282"/>
      <c r="BT172" s="282"/>
      <c r="BU172" s="282"/>
      <c r="BV172" s="281"/>
      <c r="BW172" s="281"/>
      <c r="BX172" s="281"/>
      <c r="BY172" s="326"/>
      <c r="BZ172" s="281"/>
      <c r="CA172" s="281"/>
      <c r="CB172" s="281" t="s">
        <v>444</v>
      </c>
      <c r="CC172" s="281"/>
      <c r="CD172" s="281"/>
      <c r="CE172" s="281"/>
      <c r="CF172" s="281"/>
      <c r="CG172" s="281"/>
      <c r="CH172" s="281"/>
      <c r="CI172" s="281"/>
    </row>
    <row r="173" spans="1:87" ht="16.2" hidden="1" outlineLevel="1">
      <c r="A173" s="274" t="str">
        <f>E173&amp;G173</f>
        <v>lt004_protectiontyp_prtctn</v>
      </c>
      <c r="B173" s="142" t="s">
        <v>26</v>
      </c>
      <c r="C173" s="138" t="s">
        <v>26</v>
      </c>
      <c r="D173" s="235" t="s">
        <v>40</v>
      </c>
      <c r="E173" s="238" t="s">
        <v>369</v>
      </c>
      <c r="F173" s="238"/>
      <c r="G173" s="238" t="s">
        <v>437</v>
      </c>
      <c r="H173" s="235" t="str">
        <f>VLOOKUP(A173,'2. Status Detalhe Campos'!$A$7:$G$574,7,0)</f>
        <v>1. Concluído</v>
      </c>
      <c r="I173" s="307">
        <v>45603</v>
      </c>
      <c r="J173" s="307">
        <v>45624</v>
      </c>
      <c r="K173" s="307">
        <v>45624</v>
      </c>
      <c r="L173" s="290">
        <f t="array" ref="L173">MIN(IF(W173:CI173&gt;0,$W$16:$CI$16))</f>
        <v>45645</v>
      </c>
      <c r="M173" s="291">
        <f t="array" ref="M173">MAX(IF(W173:CI173&gt;0,$W$16:$CI$16))</f>
        <v>45645</v>
      </c>
      <c r="N173" s="291"/>
      <c r="O173" s="248">
        <f>VLOOKUP(H173,Auxiliar!$B$16:$E$24,4,0)</f>
        <v>1</v>
      </c>
      <c r="P173" s="248">
        <f ca="1">IF(TODAY()&lt;=L173,0,MIN((TODAY()-L173)/(M173-L173+1),100%))</f>
        <v>1</v>
      </c>
      <c r="Q173" s="247">
        <f t="shared" ca="1" si="43"/>
        <v>0</v>
      </c>
      <c r="R173" s="262" t="s">
        <v>38</v>
      </c>
      <c r="S173" s="280"/>
      <c r="T173" s="299">
        <v>4.0999999999999996</v>
      </c>
      <c r="U173" s="270">
        <f>ROUND(T173/8,1)</f>
        <v>0.5</v>
      </c>
      <c r="V173" s="270">
        <f>SUM(W173:CI173)-U173</f>
        <v>0</v>
      </c>
      <c r="W173" s="281"/>
      <c r="X173" s="281"/>
      <c r="Y173" s="281"/>
      <c r="Z173" s="281"/>
      <c r="AA173" s="281"/>
      <c r="AB173" s="297"/>
      <c r="AC173" s="281"/>
      <c r="AD173" s="282"/>
      <c r="AE173" s="281"/>
      <c r="AF173" s="281"/>
      <c r="AG173" s="281"/>
      <c r="AH173" s="289"/>
      <c r="AI173" s="281"/>
      <c r="AJ173" s="281"/>
      <c r="AK173" s="281"/>
      <c r="AL173" s="281"/>
      <c r="AM173" s="281"/>
      <c r="AN173" s="281"/>
      <c r="AO173" s="281"/>
      <c r="AP173" s="281"/>
      <c r="AQ173" s="281"/>
      <c r="AR173" s="281"/>
      <c r="AS173" s="281"/>
      <c r="AT173" s="281"/>
      <c r="AU173" s="281"/>
      <c r="AV173" s="281"/>
      <c r="AW173" s="269"/>
      <c r="AX173" s="281"/>
      <c r="AY173" s="281"/>
      <c r="AZ173" s="281"/>
      <c r="BA173" s="281"/>
      <c r="BB173" s="281"/>
      <c r="BC173" s="281"/>
      <c r="BD173" s="281"/>
      <c r="BE173" s="281"/>
      <c r="BF173" s="281"/>
      <c r="BG173" s="281"/>
      <c r="BH173" s="281"/>
      <c r="BI173" s="281"/>
      <c r="BJ173" s="281"/>
      <c r="BK173" s="281"/>
      <c r="BL173" s="281">
        <v>0.5</v>
      </c>
      <c r="BM173" s="281"/>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5" customHeight="1" collapsed="1">
      <c r="A174" s="274"/>
      <c r="B174" s="142" t="s">
        <v>26</v>
      </c>
      <c r="C174" s="138" t="s">
        <v>311</v>
      </c>
      <c r="D174" s="134"/>
      <c r="E174" s="239" t="s">
        <v>334</v>
      </c>
      <c r="F174" s="239" t="s">
        <v>1972</v>
      </c>
      <c r="G174" s="240">
        <f>COUNTA(G175:G186)</f>
        <v>12</v>
      </c>
      <c r="H174" s="298" t="s">
        <v>2010</v>
      </c>
      <c r="I174" s="276" t="s">
        <v>38</v>
      </c>
      <c r="J174" s="296">
        <f>MIN(J175:J186)</f>
        <v>45628</v>
      </c>
      <c r="K174" s="329">
        <f>MIN(K175:K186)</f>
        <v>45629</v>
      </c>
      <c r="L174" s="277">
        <f>MIN(L175:L186)</f>
        <v>45630</v>
      </c>
      <c r="M174" s="278">
        <f>MAX(M175:M186)</f>
        <v>45667</v>
      </c>
      <c r="N174" s="323">
        <f t="array" ref="N174">MAX(IF(W174:CI174&gt;0,$W$16:$CI$16))</f>
        <v>45667</v>
      </c>
      <c r="O174" s="251">
        <v>0</v>
      </c>
      <c r="P174" s="251">
        <v>0</v>
      </c>
      <c r="Q174" s="247">
        <f t="shared" si="43"/>
        <v>0</v>
      </c>
      <c r="R174" s="380" t="s">
        <v>2016</v>
      </c>
      <c r="S174" s="280"/>
      <c r="T174" s="270"/>
      <c r="U174" s="270"/>
      <c r="V174" s="270"/>
      <c r="W174" s="281"/>
      <c r="X174" s="281"/>
      <c r="Y174" s="281"/>
      <c r="Z174" s="281"/>
      <c r="AA174" s="281"/>
      <c r="AB174" s="281"/>
      <c r="AC174" s="281"/>
      <c r="AD174" s="282"/>
      <c r="AE174" s="281"/>
      <c r="AF174" s="281"/>
      <c r="AG174" s="281"/>
      <c r="AH174" s="281"/>
      <c r="AI174" s="281"/>
      <c r="AJ174" s="281"/>
      <c r="AK174" s="281"/>
      <c r="AL174" s="281"/>
      <c r="AM174" s="281"/>
      <c r="AN174" s="281"/>
      <c r="AO174" s="281"/>
      <c r="AP174" s="281"/>
      <c r="AQ174" s="281"/>
      <c r="AR174" s="281"/>
      <c r="AS174" s="281"/>
      <c r="AT174" s="281"/>
      <c r="AU174" s="281"/>
      <c r="AV174" s="281"/>
      <c r="AW174" s="283"/>
      <c r="AX174" s="281"/>
      <c r="AY174" s="283"/>
      <c r="AZ174" s="269"/>
      <c r="BA174" s="281"/>
      <c r="BB174" s="281"/>
      <c r="BC174" s="281"/>
      <c r="BD174" s="281"/>
      <c r="BE174" s="281"/>
      <c r="BF174" s="281"/>
      <c r="BG174" s="281"/>
      <c r="BH174" s="281"/>
      <c r="BI174" s="281"/>
      <c r="BJ174" s="281"/>
      <c r="BK174" s="281"/>
      <c r="BL174" s="281"/>
      <c r="BM174" s="281"/>
      <c r="BN174" s="281"/>
      <c r="BO174" s="282"/>
      <c r="BP174" s="282"/>
      <c r="BQ174" s="282"/>
      <c r="BR174" s="282"/>
      <c r="BS174" s="282"/>
      <c r="BT174" s="282"/>
      <c r="BU174" s="282"/>
      <c r="BV174" s="281"/>
      <c r="BW174" s="281"/>
      <c r="BX174" s="281"/>
      <c r="BY174" s="281"/>
      <c r="BZ174" s="281"/>
      <c r="CA174" s="281"/>
      <c r="CB174" s="281" t="s">
        <v>444</v>
      </c>
      <c r="CC174" s="281"/>
      <c r="CD174" s="281"/>
      <c r="CE174" s="281"/>
      <c r="CF174" s="281"/>
      <c r="CG174" s="281"/>
      <c r="CH174" s="281"/>
      <c r="CI174" s="281"/>
    </row>
    <row r="175" spans="1:87" ht="16.2" hidden="1" outlineLevel="1">
      <c r="A175" s="274" t="str">
        <f t="shared" ref="A175:A186" si="47">E175&amp;G175</f>
        <v>modesg_out_sfcs_taxon_europeiacbalcao</v>
      </c>
      <c r="B175" s="142" t="s">
        <v>26</v>
      </c>
      <c r="C175" s="138" t="s">
        <v>311</v>
      </c>
      <c r="D175" s="235" t="s">
        <v>40</v>
      </c>
      <c r="E175" s="236" t="s">
        <v>334</v>
      </c>
      <c r="F175" s="236"/>
      <c r="G175" s="235" t="s">
        <v>183</v>
      </c>
      <c r="H175" s="235" t="str">
        <f>VLOOKUP(A175,'2. Status Detalhe Campos'!$A$7:$G$574,7,0)</f>
        <v>2.2 Em Re-especificação</v>
      </c>
      <c r="I175" s="276" t="s">
        <v>38</v>
      </c>
      <c r="J175" s="324">
        <v>45628</v>
      </c>
      <c r="K175" s="325">
        <v>45629</v>
      </c>
      <c r="L175" s="290">
        <f t="array" ref="L175">MIN(IF(W175:CI175&gt;0,$W$16:$CI$16))</f>
        <v>45630</v>
      </c>
      <c r="M175" s="291">
        <f t="array" ref="M175">MAX(IF(W175:CI175&gt;0,$W$16:$CI$16))</f>
        <v>45630</v>
      </c>
      <c r="N175" s="291"/>
      <c r="O175" s="248">
        <f>VLOOKUP(H175,Auxiliar!$B$16:$E$24,4,0)</f>
        <v>0</v>
      </c>
      <c r="P175" s="248">
        <f t="shared" ref="P175:P186" ca="1" si="48">IF(TODAY()&lt;=L175,0,MIN((TODAY()-L175)/(M175-L175+1),100%))</f>
        <v>1</v>
      </c>
      <c r="Q175" s="247">
        <f t="shared" ca="1" si="43"/>
        <v>-1</v>
      </c>
      <c r="R175" s="381"/>
      <c r="S175" s="280"/>
      <c r="T175" s="270">
        <v>4.0999999999999996</v>
      </c>
      <c r="U175" s="270">
        <f t="shared" ref="U175:U186" si="49">ROUND(T175/8,1)</f>
        <v>0.5</v>
      </c>
      <c r="V175" s="270">
        <f t="shared" ref="V175:V186" si="50">SUM(W175:CI175)-U175</f>
        <v>0</v>
      </c>
      <c r="W175" s="281"/>
      <c r="X175" s="281"/>
      <c r="Y175" s="281"/>
      <c r="Z175" s="281"/>
      <c r="AA175" s="281"/>
      <c r="AB175" s="281"/>
      <c r="AC175" s="281"/>
      <c r="AD175" s="282"/>
      <c r="AE175" s="281"/>
      <c r="AF175" s="281"/>
      <c r="AG175" s="281"/>
      <c r="AH175" s="281"/>
      <c r="AI175" s="281"/>
      <c r="AJ175" s="281"/>
      <c r="AK175" s="281"/>
      <c r="AL175" s="281"/>
      <c r="AM175" s="281"/>
      <c r="AN175" s="281"/>
      <c r="AO175" s="281"/>
      <c r="AP175" s="281"/>
      <c r="AQ175" s="281"/>
      <c r="AR175" s="281"/>
      <c r="AS175" s="281"/>
      <c r="AT175" s="281"/>
      <c r="AU175" s="281"/>
      <c r="AV175" s="281"/>
      <c r="AW175" s="283"/>
      <c r="AX175" s="281"/>
      <c r="AY175" s="283"/>
      <c r="AZ175" s="269"/>
      <c r="BA175" s="281">
        <v>0.5</v>
      </c>
      <c r="BB175" s="281"/>
      <c r="BC175" s="281"/>
      <c r="BD175" s="281"/>
      <c r="BE175" s="281"/>
      <c r="BF175" s="281"/>
      <c r="BG175" s="281"/>
      <c r="BH175" s="281"/>
      <c r="BI175" s="281"/>
      <c r="BJ175" s="281"/>
      <c r="BK175" s="281"/>
      <c r="BL175" s="281"/>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6.2" hidden="1" outlineLevel="1">
      <c r="A176" s="274" t="str">
        <f t="shared" si="47"/>
        <v>modesg_out_sfcs_taxon_europeiacempresa</v>
      </c>
      <c r="B176" s="142" t="s">
        <v>26</v>
      </c>
      <c r="C176" s="138" t="s">
        <v>311</v>
      </c>
      <c r="D176" s="235" t="s">
        <v>40</v>
      </c>
      <c r="E176" s="236" t="s">
        <v>334</v>
      </c>
      <c r="F176" s="236"/>
      <c r="G176" s="235" t="s">
        <v>184</v>
      </c>
      <c r="H176" s="235" t="str">
        <f>VLOOKUP(A176,'2. Status Detalhe Campos'!$A$7:$G$574,7,0)</f>
        <v>2.2 Em Re-especificação</v>
      </c>
      <c r="I176" s="276" t="s">
        <v>38</v>
      </c>
      <c r="J176" s="324">
        <v>45628</v>
      </c>
      <c r="K176" s="325">
        <v>45629</v>
      </c>
      <c r="L176" s="290">
        <f t="array" ref="L176">MIN(IF(W176:CI176&gt;0,$W$16:$CI$16))</f>
        <v>45630</v>
      </c>
      <c r="M176" s="291">
        <f t="array" ref="M176">MAX(IF(W176:CI176&gt;0,$W$16:$CI$16))</f>
        <v>45630</v>
      </c>
      <c r="N176" s="291"/>
      <c r="O176" s="248">
        <f>VLOOKUP(H176,Auxiliar!$B$16:$E$24,4,0)</f>
        <v>0</v>
      </c>
      <c r="P176" s="248">
        <f t="shared" ca="1" si="48"/>
        <v>1</v>
      </c>
      <c r="Q176" s="247">
        <f t="shared" ca="1" si="43"/>
        <v>-1</v>
      </c>
      <c r="R176" s="381"/>
      <c r="S176" s="280"/>
      <c r="T176" s="270">
        <v>4.0999999999999996</v>
      </c>
      <c r="U176" s="270">
        <f t="shared" si="49"/>
        <v>0.5</v>
      </c>
      <c r="V176" s="270">
        <f t="shared" si="50"/>
        <v>0</v>
      </c>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v>0.5</v>
      </c>
      <c r="BB176" s="281"/>
      <c r="BC176" s="281"/>
      <c r="BD176" s="281"/>
      <c r="BE176" s="281"/>
      <c r="BF176" s="281"/>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c r="CC176" s="281"/>
      <c r="CD176" s="281"/>
      <c r="CE176" s="281"/>
      <c r="CF176" s="281"/>
      <c r="CG176" s="281"/>
      <c r="CH176" s="281"/>
      <c r="CI176" s="281"/>
    </row>
    <row r="177" spans="1:87" ht="16.2" hidden="1" outlineLevel="1">
      <c r="A177" s="274" t="str">
        <f t="shared" si="47"/>
        <v>modesg_out_sfcs_taxon_europeiacnumecta</v>
      </c>
      <c r="B177" s="142" t="s">
        <v>26</v>
      </c>
      <c r="C177" s="138" t="s">
        <v>311</v>
      </c>
      <c r="D177" s="235" t="s">
        <v>40</v>
      </c>
      <c r="E177" s="236" t="s">
        <v>334</v>
      </c>
      <c r="F177" s="236"/>
      <c r="G177" s="235" t="s">
        <v>189</v>
      </c>
      <c r="H177" s="235" t="str">
        <f>VLOOKUP(A177,'2. Status Detalhe Campos'!$A$7:$G$574,7,0)</f>
        <v>2.2 Em Re-especificação</v>
      </c>
      <c r="I177" s="276" t="s">
        <v>38</v>
      </c>
      <c r="J177" s="324">
        <v>45628</v>
      </c>
      <c r="K177" s="325">
        <v>45629</v>
      </c>
      <c r="L177" s="290">
        <f t="array" ref="L177">MIN(IF(W177:CI177&gt;0,$W$16:$CI$16))</f>
        <v>45631</v>
      </c>
      <c r="M177" s="291">
        <f t="array" ref="M177">MAX(IF(W177:CI177&gt;0,$W$16:$CI$16))</f>
        <v>45631</v>
      </c>
      <c r="N177" s="291"/>
      <c r="O177" s="248">
        <f>VLOOKUP(H177,Auxiliar!$B$16:$E$24,4,0)</f>
        <v>0</v>
      </c>
      <c r="P177" s="248">
        <f t="shared" ca="1" si="48"/>
        <v>1</v>
      </c>
      <c r="Q177" s="247">
        <f t="shared" ca="1" si="43"/>
        <v>-1</v>
      </c>
      <c r="R177" s="381"/>
      <c r="S177" s="280"/>
      <c r="T177" s="270">
        <v>4.0999999999999996</v>
      </c>
      <c r="U177" s="270">
        <f t="shared" si="49"/>
        <v>0.5</v>
      </c>
      <c r="V177" s="270">
        <f t="shared" si="50"/>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c r="BB177" s="281">
        <v>0.5</v>
      </c>
      <c r="BC177" s="281"/>
      <c r="BD177" s="281"/>
      <c r="BE177" s="281"/>
      <c r="BF177" s="281"/>
      <c r="BG177" s="281"/>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hidden="1" outlineLevel="1">
      <c r="A178" s="274" t="str">
        <f t="shared" si="47"/>
        <v>modesg_out_sfcs_taxon_europeiacod_regra</v>
      </c>
      <c r="B178" s="142" t="s">
        <v>26</v>
      </c>
      <c r="C178" s="138" t="s">
        <v>311</v>
      </c>
      <c r="D178" s="235" t="s">
        <v>40</v>
      </c>
      <c r="E178" s="236" t="s">
        <v>334</v>
      </c>
      <c r="F178" s="236"/>
      <c r="G178" s="235" t="s">
        <v>191</v>
      </c>
      <c r="H178" s="235" t="str">
        <f>VLOOKUP(A178,'2. Status Detalhe Campos'!$A$7:$G$574,7,0)</f>
        <v>2.2 Em Re-especificação</v>
      </c>
      <c r="I178" s="276" t="s">
        <v>38</v>
      </c>
      <c r="J178" s="324">
        <v>45628</v>
      </c>
      <c r="K178" s="325">
        <v>45629</v>
      </c>
      <c r="L178" s="290">
        <f t="array" ref="L178">MIN(IF(W178:CI178&gt;0,$W$16:$CI$16))</f>
        <v>45631</v>
      </c>
      <c r="M178" s="291">
        <f t="array" ref="M178">MAX(IF(W178:CI178&gt;0,$W$16:$CI$16))</f>
        <v>45631</v>
      </c>
      <c r="N178" s="291"/>
      <c r="O178" s="248">
        <f>VLOOKUP(H178,Auxiliar!$B$16:$E$24,4,0)</f>
        <v>0</v>
      </c>
      <c r="P178" s="248">
        <f t="shared" ca="1" si="48"/>
        <v>1</v>
      </c>
      <c r="Q178" s="247">
        <f t="shared" ca="1" si="43"/>
        <v>-1</v>
      </c>
      <c r="R178" s="381"/>
      <c r="S178" s="280"/>
      <c r="T178" s="270">
        <v>4.0999999999999996</v>
      </c>
      <c r="U178" s="270">
        <f t="shared" si="49"/>
        <v>0.5</v>
      </c>
      <c r="V178" s="270">
        <f t="shared" si="50"/>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c r="BB178" s="281">
        <v>0.5</v>
      </c>
      <c r="BC178" s="281"/>
      <c r="BD178" s="281"/>
      <c r="BE178" s="281"/>
      <c r="BF178" s="281"/>
      <c r="BG178" s="281"/>
      <c r="BH178" s="281"/>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hidden="1" outlineLevel="1">
      <c r="A179" s="274" t="str">
        <f t="shared" si="47"/>
        <v>modesg_out_sfcs_taxon_europeiamontante_pndrc</v>
      </c>
      <c r="B179" s="142" t="s">
        <v>26</v>
      </c>
      <c r="C179" s="138" t="s">
        <v>311</v>
      </c>
      <c r="D179" s="235" t="s">
        <v>40</v>
      </c>
      <c r="E179" s="236" t="s">
        <v>334</v>
      </c>
      <c r="F179" s="236"/>
      <c r="G179" s="235" t="s">
        <v>202</v>
      </c>
      <c r="H179" s="235" t="str">
        <f>VLOOKUP(A179,'2. Status Detalhe Campos'!$A$7:$G$574,7,0)</f>
        <v>2.2 Em Re-especificação</v>
      </c>
      <c r="I179" s="276" t="s">
        <v>38</v>
      </c>
      <c r="J179" s="324">
        <v>45628</v>
      </c>
      <c r="K179" s="325">
        <v>45629</v>
      </c>
      <c r="L179" s="290">
        <f t="array" ref="L179">MIN(IF(W179:CI179&gt;0,$W$16:$CI$16))</f>
        <v>45632</v>
      </c>
      <c r="M179" s="291">
        <f t="array" ref="M179">MAX(IF(W179:CI179&gt;0,$W$16:$CI$16))</f>
        <v>45635</v>
      </c>
      <c r="N179" s="291"/>
      <c r="O179" s="248">
        <f>VLOOKUP(H179,Auxiliar!$B$16:$E$24,4,0)</f>
        <v>0</v>
      </c>
      <c r="P179" s="248">
        <f t="shared" ca="1" si="48"/>
        <v>1</v>
      </c>
      <c r="Q179" s="247">
        <f t="shared" ca="1" si="43"/>
        <v>-1</v>
      </c>
      <c r="R179" s="381"/>
      <c r="S179" s="280"/>
      <c r="T179" s="270">
        <v>16.100000000000001</v>
      </c>
      <c r="U179" s="270">
        <f t="shared" si="49"/>
        <v>2</v>
      </c>
      <c r="V179" s="270">
        <f t="shared" si="50"/>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c r="BC179" s="281">
        <v>1</v>
      </c>
      <c r="BD179" s="281">
        <v>1</v>
      </c>
      <c r="BE179" s="281"/>
      <c r="BF179" s="281"/>
      <c r="BG179" s="281"/>
      <c r="BH179" s="281"/>
      <c r="BI179" s="281"/>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hidden="1" outlineLevel="1">
      <c r="A180" s="274" t="str">
        <f t="shared" si="47"/>
        <v>modesg_out_sfcs_taxon_europeianome_ctgr_sfcs</v>
      </c>
      <c r="B180" s="142" t="s">
        <v>26</v>
      </c>
      <c r="C180" s="138" t="s">
        <v>311</v>
      </c>
      <c r="D180" s="235" t="s">
        <v>40</v>
      </c>
      <c r="E180" s="236" t="s">
        <v>334</v>
      </c>
      <c r="F180" s="236"/>
      <c r="G180" s="235" t="s">
        <v>203</v>
      </c>
      <c r="H180" s="235" t="str">
        <f>VLOOKUP(A180,'2. Status Detalhe Campos'!$A$7:$G$574,7,0)</f>
        <v>2.2 Em Re-especificação</v>
      </c>
      <c r="I180" s="276" t="s">
        <v>38</v>
      </c>
      <c r="J180" s="324">
        <v>45628</v>
      </c>
      <c r="K180" s="325">
        <v>45629</v>
      </c>
      <c r="L180" s="290">
        <f t="array" ref="L180">MIN(IF(W180:CI180&gt;0,$W$16:$CI$16))</f>
        <v>45636</v>
      </c>
      <c r="M180" s="291">
        <f t="array" ref="M180">MAX(IF(W180:CI180&gt;0,$W$16:$CI$16))</f>
        <v>45637</v>
      </c>
      <c r="N180" s="291"/>
      <c r="O180" s="248">
        <f>VLOOKUP(H180,Auxiliar!$B$16:$E$24,4,0)</f>
        <v>0</v>
      </c>
      <c r="P180" s="248">
        <f t="shared" ca="1" si="48"/>
        <v>1</v>
      </c>
      <c r="Q180" s="247">
        <f t="shared" ca="1" si="43"/>
        <v>-1</v>
      </c>
      <c r="R180" s="381"/>
      <c r="S180" s="280"/>
      <c r="T180" s="270">
        <v>16.100000000000001</v>
      </c>
      <c r="U180" s="270">
        <f t="shared" si="49"/>
        <v>2</v>
      </c>
      <c r="V180" s="270">
        <f t="shared" si="50"/>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c r="BC180" s="281"/>
      <c r="BD180" s="281"/>
      <c r="BE180" s="281">
        <v>1</v>
      </c>
      <c r="BF180" s="281">
        <v>1</v>
      </c>
      <c r="BG180" s="281"/>
      <c r="BH180" s="281"/>
      <c r="BI180" s="281"/>
      <c r="BJ180" s="281"/>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hidden="1" outlineLevel="1">
      <c r="A181" s="274" t="str">
        <f t="shared" si="47"/>
        <v>modesg_out_sfcs_taxon_europeianome_general_specific_purpose</v>
      </c>
      <c r="B181" s="142" t="s">
        <v>26</v>
      </c>
      <c r="C181" s="138" t="s">
        <v>311</v>
      </c>
      <c r="D181" s="235" t="s">
        <v>40</v>
      </c>
      <c r="E181" s="236" t="s">
        <v>334</v>
      </c>
      <c r="F181" s="236"/>
      <c r="G181" s="235" t="s">
        <v>204</v>
      </c>
      <c r="H181" s="235" t="str">
        <f>VLOOKUP(A181,'2. Status Detalhe Campos'!$A$7:$G$574,7,0)</f>
        <v>2.2 Em Re-especificação</v>
      </c>
      <c r="I181" s="276" t="s">
        <v>38</v>
      </c>
      <c r="J181" s="324">
        <v>45628</v>
      </c>
      <c r="K181" s="325">
        <v>45629</v>
      </c>
      <c r="L181" s="290">
        <f t="array" ref="L181">MIN(IF(W181:CI181&gt;0,$W$16:$CI$16))</f>
        <v>45638</v>
      </c>
      <c r="M181" s="291">
        <f t="array" ref="M181">MAX(IF(W181:CI181&gt;0,$W$16:$CI$16))</f>
        <v>45638</v>
      </c>
      <c r="N181" s="291"/>
      <c r="O181" s="248">
        <f>VLOOKUP(H181,Auxiliar!$B$16:$E$24,4,0)</f>
        <v>0</v>
      </c>
      <c r="P181" s="248">
        <f t="shared" ca="1" si="48"/>
        <v>1</v>
      </c>
      <c r="Q181" s="247">
        <f t="shared" ca="1" si="43"/>
        <v>-1</v>
      </c>
      <c r="R181" s="381"/>
      <c r="S181" s="280"/>
      <c r="T181" s="270">
        <v>8.1</v>
      </c>
      <c r="U181" s="270">
        <f t="shared" si="49"/>
        <v>1</v>
      </c>
      <c r="V181" s="270">
        <f t="shared" si="50"/>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c r="BD181" s="281"/>
      <c r="BE181" s="281"/>
      <c r="BF181" s="281"/>
      <c r="BG181" s="281">
        <v>1</v>
      </c>
      <c r="BH181" s="281"/>
      <c r="BI181" s="281"/>
      <c r="BJ181" s="281"/>
      <c r="BK181" s="281"/>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hidden="1" outlineLevel="1">
      <c r="A182" s="274" t="str">
        <f t="shared" si="47"/>
        <v>modesg_out_sfcs_taxon_europeianome_purpose_esg</v>
      </c>
      <c r="B182" s="142" t="s">
        <v>26</v>
      </c>
      <c r="C182" s="138" t="s">
        <v>311</v>
      </c>
      <c r="D182" s="235" t="s">
        <v>40</v>
      </c>
      <c r="E182" s="236" t="s">
        <v>334</v>
      </c>
      <c r="F182" s="236"/>
      <c r="G182" s="235" t="s">
        <v>205</v>
      </c>
      <c r="H182" s="235" t="str">
        <f>VLOOKUP(A182,'2. Status Detalhe Campos'!$A$7:$G$574,7,0)</f>
        <v>2.2 Em Re-especificação</v>
      </c>
      <c r="I182" s="276" t="s">
        <v>38</v>
      </c>
      <c r="J182" s="324">
        <v>45628</v>
      </c>
      <c r="K182" s="325">
        <v>45629</v>
      </c>
      <c r="L182" s="290">
        <f t="array" ref="L182">MIN(IF(W182:CI182&gt;0,$W$16:$CI$16))</f>
        <v>45639</v>
      </c>
      <c r="M182" s="291">
        <f t="array" ref="M182">MAX(IF(W182:CI182&gt;0,$W$16:$CI$16))</f>
        <v>45639</v>
      </c>
      <c r="N182" s="291"/>
      <c r="O182" s="248">
        <f>VLOOKUP(H182,Auxiliar!$B$16:$E$24,4,0)</f>
        <v>0</v>
      </c>
      <c r="P182" s="248">
        <f t="shared" ca="1" si="48"/>
        <v>1</v>
      </c>
      <c r="Q182" s="247">
        <f t="shared" ca="1" si="43"/>
        <v>-1</v>
      </c>
      <c r="R182" s="381"/>
      <c r="S182" s="280"/>
      <c r="T182" s="270">
        <v>8.1</v>
      </c>
      <c r="U182" s="270">
        <f t="shared" si="49"/>
        <v>1</v>
      </c>
      <c r="V182" s="270">
        <f t="shared" si="50"/>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c r="BF182" s="281"/>
      <c r="BG182" s="281"/>
      <c r="BH182" s="281">
        <v>1</v>
      </c>
      <c r="BI182" s="281"/>
      <c r="BJ182" s="281"/>
      <c r="BK182" s="281"/>
      <c r="BL182" s="281"/>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6.2" hidden="1" outlineLevel="1">
      <c r="A183" s="274" t="str">
        <f t="shared" si="47"/>
        <v>modesg_out_sfcs_taxon_europeianome_specific_eligible</v>
      </c>
      <c r="B183" s="142" t="s">
        <v>26</v>
      </c>
      <c r="C183" s="138" t="s">
        <v>311</v>
      </c>
      <c r="D183" s="235" t="s">
        <v>40</v>
      </c>
      <c r="E183" s="236" t="s">
        <v>334</v>
      </c>
      <c r="F183" s="236"/>
      <c r="G183" s="235" t="s">
        <v>206</v>
      </c>
      <c r="H183" s="235" t="str">
        <f>VLOOKUP(A183,'2. Status Detalhe Campos'!$A$7:$G$574,7,0)</f>
        <v>2.2 Em Re-especificação</v>
      </c>
      <c r="I183" s="276" t="s">
        <v>38</v>
      </c>
      <c r="J183" s="324">
        <v>45628</v>
      </c>
      <c r="K183" s="325">
        <v>45629</v>
      </c>
      <c r="L183" s="290">
        <f t="array" ref="L183">MIN(IF(W183:CI183&gt;0,$W$16:$CI$16))</f>
        <v>45642</v>
      </c>
      <c r="M183" s="291">
        <f t="array" ref="M183">MAX(IF(W183:CI183&gt;0,$W$16:$CI$16))</f>
        <v>45642</v>
      </c>
      <c r="N183" s="291"/>
      <c r="O183" s="248">
        <f>VLOOKUP(H183,Auxiliar!$B$16:$E$24,4,0)</f>
        <v>0</v>
      </c>
      <c r="P183" s="248">
        <f t="shared" ca="1" si="48"/>
        <v>1</v>
      </c>
      <c r="Q183" s="247">
        <f t="shared" ca="1" si="43"/>
        <v>-1</v>
      </c>
      <c r="R183" s="381"/>
      <c r="S183" s="280"/>
      <c r="T183" s="270">
        <v>8.1</v>
      </c>
      <c r="U183" s="270">
        <f t="shared" si="49"/>
        <v>1</v>
      </c>
      <c r="V183" s="270">
        <f t="shared" si="50"/>
        <v>0</v>
      </c>
      <c r="W183" s="281"/>
      <c r="X183" s="281"/>
      <c r="Y183" s="281"/>
      <c r="Z183" s="281"/>
      <c r="AA183" s="281"/>
      <c r="AB183" s="281"/>
      <c r="AC183" s="281"/>
      <c r="AD183" s="282"/>
      <c r="AE183" s="281"/>
      <c r="AF183" s="281"/>
      <c r="AG183" s="281"/>
      <c r="AH183" s="281"/>
      <c r="AI183" s="281"/>
      <c r="AJ183" s="281"/>
      <c r="AK183" s="281"/>
      <c r="AL183" s="281"/>
      <c r="AM183" s="281"/>
      <c r="AN183" s="281"/>
      <c r="AO183" s="281"/>
      <c r="AP183" s="281"/>
      <c r="AQ183" s="281"/>
      <c r="AR183" s="281"/>
      <c r="AS183" s="281"/>
      <c r="AT183" s="281"/>
      <c r="AU183" s="281"/>
      <c r="AV183" s="281"/>
      <c r="AW183" s="283"/>
      <c r="AX183" s="281"/>
      <c r="AY183" s="283"/>
      <c r="AZ183" s="269"/>
      <c r="BA183" s="281"/>
      <c r="BB183" s="281"/>
      <c r="BC183" s="281"/>
      <c r="BD183" s="281"/>
      <c r="BE183" s="281"/>
      <c r="BF183" s="281"/>
      <c r="BG183" s="281"/>
      <c r="BH183" s="281"/>
      <c r="BI183" s="281">
        <v>1</v>
      </c>
      <c r="BJ183" s="281"/>
      <c r="BK183" s="281"/>
      <c r="BL183" s="281"/>
      <c r="BM183" s="281"/>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6.2" hidden="1" outlineLevel="1">
      <c r="A184" s="274" t="str">
        <f t="shared" si="47"/>
        <v>modesg_out_sfcs_taxon_europeianome_specific_sustainable</v>
      </c>
      <c r="B184" s="142" t="s">
        <v>26</v>
      </c>
      <c r="C184" s="138" t="s">
        <v>311</v>
      </c>
      <c r="D184" s="235" t="s">
        <v>40</v>
      </c>
      <c r="E184" s="236" t="s">
        <v>334</v>
      </c>
      <c r="F184" s="236"/>
      <c r="G184" s="235" t="s">
        <v>207</v>
      </c>
      <c r="H184" s="235" t="str">
        <f>VLOOKUP(A184,'2. Status Detalhe Campos'!$A$7:$G$574,7,0)</f>
        <v>2.2 Em Re-especificação</v>
      </c>
      <c r="I184" s="276" t="s">
        <v>38</v>
      </c>
      <c r="J184" s="324">
        <v>45628</v>
      </c>
      <c r="K184" s="325">
        <v>45629</v>
      </c>
      <c r="L184" s="290">
        <f t="array" ref="L184">MIN(IF(W184:CI184&gt;0,$W$16:$CI$16))</f>
        <v>45643</v>
      </c>
      <c r="M184" s="291">
        <f t="array" ref="M184">MAX(IF(W184:CI184&gt;0,$W$16:$CI$16))</f>
        <v>45643</v>
      </c>
      <c r="N184" s="291"/>
      <c r="O184" s="248">
        <f>VLOOKUP(H184,Auxiliar!$B$16:$E$24,4,0)</f>
        <v>0</v>
      </c>
      <c r="P184" s="248">
        <f t="shared" ca="1" si="48"/>
        <v>1</v>
      </c>
      <c r="Q184" s="247">
        <f t="shared" ca="1" si="43"/>
        <v>-1</v>
      </c>
      <c r="R184" s="381"/>
      <c r="S184" s="280"/>
      <c r="T184" s="270">
        <v>8.1</v>
      </c>
      <c r="U184" s="270">
        <f t="shared" si="49"/>
        <v>1</v>
      </c>
      <c r="V184" s="270">
        <f t="shared" si="50"/>
        <v>0</v>
      </c>
      <c r="W184" s="281"/>
      <c r="X184" s="281"/>
      <c r="Y184" s="281"/>
      <c r="Z184" s="281"/>
      <c r="AA184" s="281"/>
      <c r="AB184" s="281"/>
      <c r="AC184" s="281"/>
      <c r="AD184" s="282"/>
      <c r="AE184" s="281"/>
      <c r="AF184" s="281"/>
      <c r="AG184" s="281"/>
      <c r="AH184" s="281"/>
      <c r="AI184" s="281"/>
      <c r="AJ184" s="281"/>
      <c r="AK184" s="281"/>
      <c r="AL184" s="281"/>
      <c r="AM184" s="281"/>
      <c r="AN184" s="281"/>
      <c r="AO184" s="281"/>
      <c r="AP184" s="281"/>
      <c r="AQ184" s="281"/>
      <c r="AR184" s="281"/>
      <c r="AS184" s="281"/>
      <c r="AT184" s="281"/>
      <c r="AU184" s="281"/>
      <c r="AV184" s="281"/>
      <c r="AW184" s="283"/>
      <c r="AX184" s="281"/>
      <c r="AY184" s="283"/>
      <c r="AZ184" s="269"/>
      <c r="BA184" s="281"/>
      <c r="BB184" s="281"/>
      <c r="BC184" s="281"/>
      <c r="BD184" s="281"/>
      <c r="BE184" s="281"/>
      <c r="BF184" s="281"/>
      <c r="BG184" s="281"/>
      <c r="BH184" s="281"/>
      <c r="BI184" s="281"/>
      <c r="BJ184" s="281">
        <v>1</v>
      </c>
      <c r="BK184" s="281"/>
      <c r="BL184" s="281"/>
      <c r="BM184" s="281"/>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c r="A185" s="274" t="str">
        <f t="shared" si="47"/>
        <v>modesg_out_sfcs_taxon_europeiaref_date</v>
      </c>
      <c r="B185" s="142" t="s">
        <v>26</v>
      </c>
      <c r="C185" s="138" t="s">
        <v>311</v>
      </c>
      <c r="D185" s="235" t="s">
        <v>40</v>
      </c>
      <c r="E185" s="236" t="s">
        <v>334</v>
      </c>
      <c r="F185" s="236"/>
      <c r="G185" s="235" t="s">
        <v>208</v>
      </c>
      <c r="H185" s="235" t="str">
        <f>VLOOKUP(A185,'2. Status Detalhe Campos'!$A$7:$G$574,7,0)</f>
        <v>2.2 Em Re-especificação</v>
      </c>
      <c r="I185" s="276" t="s">
        <v>38</v>
      </c>
      <c r="J185" s="324">
        <v>45628</v>
      </c>
      <c r="K185" s="325">
        <v>45629</v>
      </c>
      <c r="L185" s="290">
        <f t="array" ref="L185">MIN(IF(W185:CI185&gt;0,$W$16:$CI$16))</f>
        <v>45644</v>
      </c>
      <c r="M185" s="291">
        <f t="array" ref="M185">MAX(IF(W185:CI185&gt;0,$W$16:$CI$16))</f>
        <v>45644</v>
      </c>
      <c r="N185" s="291"/>
      <c r="O185" s="248">
        <f>VLOOKUP(H185,Auxiliar!$B$16:$E$24,4,0)</f>
        <v>0</v>
      </c>
      <c r="P185" s="248">
        <f t="shared" ca="1" si="48"/>
        <v>1</v>
      </c>
      <c r="Q185" s="247">
        <f t="shared" ca="1" si="43"/>
        <v>-1</v>
      </c>
      <c r="R185" s="381"/>
      <c r="S185" s="280"/>
      <c r="T185" s="270">
        <v>4.0999999999999996</v>
      </c>
      <c r="U185" s="270">
        <f t="shared" si="49"/>
        <v>0.5</v>
      </c>
      <c r="V185" s="270">
        <f t="shared" si="50"/>
        <v>0</v>
      </c>
      <c r="W185" s="281"/>
      <c r="X185" s="281"/>
      <c r="Y185" s="281"/>
      <c r="Z185" s="281"/>
      <c r="AA185" s="281"/>
      <c r="AB185" s="281"/>
      <c r="AC185" s="281"/>
      <c r="AD185" s="282"/>
      <c r="AE185" s="281"/>
      <c r="AF185" s="281"/>
      <c r="AG185" s="281"/>
      <c r="AH185" s="281"/>
      <c r="AI185" s="281"/>
      <c r="AJ185" s="281"/>
      <c r="AK185" s="281"/>
      <c r="AL185" s="281"/>
      <c r="AM185" s="281"/>
      <c r="AN185" s="281"/>
      <c r="AO185" s="281"/>
      <c r="AP185" s="281"/>
      <c r="AQ185" s="281"/>
      <c r="AR185" s="281"/>
      <c r="AS185" s="281"/>
      <c r="AT185" s="281"/>
      <c r="AU185" s="281"/>
      <c r="AV185" s="281"/>
      <c r="AW185" s="283"/>
      <c r="AX185" s="281"/>
      <c r="AY185" s="283"/>
      <c r="AZ185" s="269"/>
      <c r="BA185" s="281"/>
      <c r="BB185" s="281"/>
      <c r="BC185" s="281"/>
      <c r="BD185" s="281"/>
      <c r="BE185" s="281"/>
      <c r="BF185" s="281"/>
      <c r="BG185" s="281"/>
      <c r="BH185" s="281"/>
      <c r="BI185" s="281"/>
      <c r="BJ185" s="281"/>
      <c r="BK185" s="281">
        <v>0.5</v>
      </c>
      <c r="BL185" s="281"/>
      <c r="BM185" s="281"/>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c r="A186" s="274" t="str">
        <f t="shared" si="47"/>
        <v>modesg_out_sfcs_taxon_europeiazdeposit</v>
      </c>
      <c r="B186" s="142" t="s">
        <v>26</v>
      </c>
      <c r="C186" s="138" t="s">
        <v>311</v>
      </c>
      <c r="D186" s="235" t="s">
        <v>40</v>
      </c>
      <c r="E186" s="236" t="s">
        <v>334</v>
      </c>
      <c r="F186" s="236"/>
      <c r="G186" s="235" t="s">
        <v>210</v>
      </c>
      <c r="H186" s="235" t="str">
        <f>VLOOKUP(A186,'2. Status Detalhe Campos'!$A$7:$G$574,7,0)</f>
        <v>2.2 Em Re-especificação</v>
      </c>
      <c r="I186" s="276" t="s">
        <v>38</v>
      </c>
      <c r="J186" s="324">
        <v>45628</v>
      </c>
      <c r="K186" s="325">
        <v>45629</v>
      </c>
      <c r="L186" s="290">
        <f t="array" ref="L186">MIN(IF(W186:CI186&gt;0,$W$16:$CI$16))</f>
        <v>45644</v>
      </c>
      <c r="M186" s="291">
        <f t="array" ref="M186">MAX(IF(W186:CI186&gt;0,$W$16:$CI$16))</f>
        <v>45667</v>
      </c>
      <c r="N186" s="291"/>
      <c r="O186" s="248">
        <f>VLOOKUP(H186,Auxiliar!$B$16:$E$24,4,0)</f>
        <v>0</v>
      </c>
      <c r="P186" s="248">
        <f t="shared" ca="1" si="48"/>
        <v>1</v>
      </c>
      <c r="Q186" s="247">
        <f t="shared" ca="1" si="43"/>
        <v>-1</v>
      </c>
      <c r="R186" s="381"/>
      <c r="S186" s="280"/>
      <c r="T186" s="270">
        <v>8.1</v>
      </c>
      <c r="U186" s="270">
        <f t="shared" si="49"/>
        <v>1</v>
      </c>
      <c r="V186" s="270">
        <f t="shared" si="50"/>
        <v>0</v>
      </c>
      <c r="W186" s="281"/>
      <c r="X186" s="281"/>
      <c r="Y186" s="281"/>
      <c r="Z186" s="281"/>
      <c r="AA186" s="281"/>
      <c r="AB186" s="281"/>
      <c r="AC186" s="281"/>
      <c r="AD186" s="282"/>
      <c r="AE186" s="281"/>
      <c r="AF186" s="281"/>
      <c r="AG186" s="281"/>
      <c r="AH186" s="281"/>
      <c r="AI186" s="281"/>
      <c r="AJ186" s="281"/>
      <c r="AK186" s="281"/>
      <c r="AL186" s="281"/>
      <c r="AM186" s="281"/>
      <c r="AN186" s="281"/>
      <c r="AO186" s="281"/>
      <c r="AP186" s="281"/>
      <c r="AQ186" s="281"/>
      <c r="AR186" s="281"/>
      <c r="AS186" s="281"/>
      <c r="AT186" s="281"/>
      <c r="AU186" s="281"/>
      <c r="AV186" s="281"/>
      <c r="AW186" s="283"/>
      <c r="AX186" s="281"/>
      <c r="AY186" s="283"/>
      <c r="AZ186" s="269"/>
      <c r="BA186" s="281"/>
      <c r="BB186" s="281"/>
      <c r="BC186" s="281"/>
      <c r="BD186" s="281"/>
      <c r="BE186" s="281"/>
      <c r="BF186" s="281"/>
      <c r="BG186" s="281"/>
      <c r="BH186" s="281"/>
      <c r="BI186" s="281"/>
      <c r="BJ186" s="281"/>
      <c r="BK186" s="281">
        <v>0.5</v>
      </c>
      <c r="BM186" s="281"/>
      <c r="BN186" s="281"/>
      <c r="BO186" s="282"/>
      <c r="BP186" s="282"/>
      <c r="BQ186" s="282"/>
      <c r="BR186" s="282"/>
      <c r="BS186" s="282"/>
      <c r="BT186" s="282"/>
      <c r="BU186" s="282"/>
      <c r="BV186" s="281"/>
      <c r="BW186" s="281"/>
      <c r="BX186" s="281"/>
      <c r="BY186" s="281"/>
      <c r="BZ186" s="281"/>
      <c r="CA186" s="281"/>
      <c r="CB186" s="281">
        <v>0.5</v>
      </c>
      <c r="CC186" s="281"/>
      <c r="CD186" s="281"/>
      <c r="CE186" s="281"/>
      <c r="CF186" s="281"/>
      <c r="CG186" s="281"/>
      <c r="CH186" s="281"/>
      <c r="CI186" s="281"/>
    </row>
    <row r="187" spans="1:87" ht="15" customHeight="1" collapsed="1">
      <c r="A187" s="274"/>
      <c r="B187" s="142" t="s">
        <v>26</v>
      </c>
      <c r="C187" s="138" t="s">
        <v>26</v>
      </c>
      <c r="D187" s="134"/>
      <c r="E187" s="241" t="s">
        <v>380</v>
      </c>
      <c r="F187" s="239" t="s">
        <v>2013</v>
      </c>
      <c r="G187" s="240">
        <f>COUNTA(G188:G190)</f>
        <v>3</v>
      </c>
      <c r="H187" s="295" t="s">
        <v>2005</v>
      </c>
      <c r="I187" s="304">
        <f>MAX(I188:I190)</f>
        <v>45603</v>
      </c>
      <c r="J187" s="296">
        <f>MIN(J188:J190)</f>
        <v>45631</v>
      </c>
      <c r="K187" s="329">
        <f>MIN(K188:K190)</f>
        <v>45631</v>
      </c>
      <c r="L187" s="278">
        <f>MIN(L188:L190)</f>
        <v>45642</v>
      </c>
      <c r="M187" s="278">
        <f>MAX(M188:M190)</f>
        <v>45643</v>
      </c>
      <c r="N187" s="323">
        <f t="array" ref="N187">MAX(IF(W187:CI187&gt;0,$W$16:$CI$16))</f>
        <v>45646</v>
      </c>
      <c r="O187" s="322">
        <f>SUMPRODUCT(O188:O190,U188:U190)/SUM(U188:U190)</f>
        <v>0</v>
      </c>
      <c r="P187" s="322">
        <f ca="1">SUMPRODUCT(P188:P190,U188:U190)/SUM(U188:U190)</f>
        <v>1</v>
      </c>
      <c r="Q187" s="247">
        <f t="shared" ref="Q187:Q195" ca="1" si="51">O187-P187</f>
        <v>-1</v>
      </c>
      <c r="R187" s="374" t="s">
        <v>2058</v>
      </c>
      <c r="S187" s="280"/>
      <c r="T187" s="270"/>
      <c r="U187" s="270"/>
      <c r="V187" s="270"/>
      <c r="W187" s="281"/>
      <c r="X187" s="281"/>
      <c r="Y187" s="281"/>
      <c r="Z187" s="297"/>
      <c r="AA187" s="281"/>
      <c r="AB187" s="289"/>
      <c r="AC187" s="281"/>
      <c r="AD187" s="282"/>
      <c r="AE187" s="281"/>
      <c r="AF187" s="281"/>
      <c r="AG187" s="281"/>
      <c r="AH187" s="289"/>
      <c r="AI187" s="281"/>
      <c r="AJ187" s="281"/>
      <c r="AK187" s="281"/>
      <c r="AL187" s="281"/>
      <c r="AM187" s="281"/>
      <c r="AN187" s="288"/>
      <c r="AO187" s="281"/>
      <c r="AP187" s="281"/>
      <c r="AQ187" s="281"/>
      <c r="AR187" s="281"/>
      <c r="AS187" s="281"/>
      <c r="AT187" s="281"/>
      <c r="AU187" s="289"/>
      <c r="AV187" s="281"/>
      <c r="AW187" s="281"/>
      <c r="AX187" s="281"/>
      <c r="AY187" s="281"/>
      <c r="AZ187" s="281"/>
      <c r="BA187" s="281"/>
      <c r="BB187" s="269"/>
      <c r="BC187" s="281"/>
      <c r="BD187" s="281"/>
      <c r="BE187" s="281"/>
      <c r="BF187" s="281"/>
      <c r="BG187" s="281"/>
      <c r="BH187" s="281"/>
      <c r="BI187" s="281"/>
      <c r="BJ187" s="281"/>
      <c r="BK187" s="281"/>
      <c r="BL187" s="281"/>
      <c r="BM187" s="281" t="s">
        <v>444</v>
      </c>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6.2" hidden="1" outlineLevel="1">
      <c r="A188" s="274" t="str">
        <f>E188&amp;G188</f>
        <v>lt002_instrumentmthd_usd_instrmnt_scp_1</v>
      </c>
      <c r="B188" s="142" t="s">
        <v>26</v>
      </c>
      <c r="C188" s="138" t="s">
        <v>26</v>
      </c>
      <c r="D188" s="235" t="s">
        <v>40</v>
      </c>
      <c r="E188" s="238" t="s">
        <v>380</v>
      </c>
      <c r="F188" s="238"/>
      <c r="G188" s="238" t="s">
        <v>386</v>
      </c>
      <c r="H188" s="235" t="str">
        <f>VLOOKUP(A188,'2. Status Detalhe Campos'!$A$7:$G$574,7,0)</f>
        <v>3. Pendente de outros desenvolvimentos</v>
      </c>
      <c r="I188" s="376">
        <v>45603</v>
      </c>
      <c r="J188" s="324">
        <v>45631</v>
      </c>
      <c r="K188" s="324">
        <v>45631</v>
      </c>
      <c r="L188" s="290">
        <f t="array" ref="L188">MIN(IF(W188:CI188&gt;0,$W$16:$CI$16))</f>
        <v>45642</v>
      </c>
      <c r="M188" s="291">
        <f t="array" ref="M188">MAX(IF(W188:CI188&gt;0,$W$16:$CI$16))</f>
        <v>45642</v>
      </c>
      <c r="N188" s="291"/>
      <c r="O188" s="388">
        <f>VLOOKUP(H188,Auxiliar!$B$16:$E$24,4,0)</f>
        <v>0</v>
      </c>
      <c r="P188" s="388">
        <f ca="1">IF(TODAY()&lt;=L188,0,MIN((TODAY()-L188)/(M188-L188+1),100%))</f>
        <v>1</v>
      </c>
      <c r="Q188" s="247">
        <f t="shared" ca="1" si="51"/>
        <v>-1</v>
      </c>
      <c r="R188" s="381"/>
      <c r="S188" s="280"/>
      <c r="T188" s="270">
        <v>4.0999999999999996</v>
      </c>
      <c r="U188" s="270">
        <f>ROUND(T188/8,1)</f>
        <v>0.5</v>
      </c>
      <c r="V188" s="270">
        <f>SUM(W188:CI188)-U188</f>
        <v>0</v>
      </c>
      <c r="W188" s="281"/>
      <c r="X188" s="281"/>
      <c r="Y188" s="281"/>
      <c r="Z188" s="297"/>
      <c r="AA188" s="281"/>
      <c r="AB188" s="289"/>
      <c r="AC188" s="281"/>
      <c r="AD188" s="282"/>
      <c r="AE188" s="281"/>
      <c r="AF188" s="281"/>
      <c r="AG188" s="281"/>
      <c r="AH188" s="289"/>
      <c r="AI188" s="281"/>
      <c r="AJ188" s="281"/>
      <c r="AK188" s="281"/>
      <c r="AL188" s="281"/>
      <c r="AM188" s="281"/>
      <c r="AN188" s="288"/>
      <c r="AO188" s="281"/>
      <c r="AP188" s="281"/>
      <c r="AQ188" s="281"/>
      <c r="AR188" s="281"/>
      <c r="AS188" s="281"/>
      <c r="AT188" s="281"/>
      <c r="AU188" s="289"/>
      <c r="AV188" s="281"/>
      <c r="AW188" s="281"/>
      <c r="AX188" s="281"/>
      <c r="AY188" s="281"/>
      <c r="AZ188" s="281"/>
      <c r="BA188" s="281"/>
      <c r="BB188" s="269"/>
      <c r="BC188" s="281"/>
      <c r="BD188" s="281"/>
      <c r="BE188" s="281"/>
      <c r="BF188" s="281"/>
      <c r="BG188" s="281"/>
      <c r="BH188" s="281"/>
      <c r="BI188" s="281">
        <v>0.5</v>
      </c>
      <c r="BJ188" s="281"/>
      <c r="BK188" s="281"/>
      <c r="BL188" s="281"/>
      <c r="BM188" s="284"/>
      <c r="BN188" s="281"/>
      <c r="BO188" s="282"/>
      <c r="BP188" s="282"/>
      <c r="BQ188" s="282"/>
      <c r="BR188" s="282"/>
      <c r="BS188" s="282"/>
      <c r="BT188" s="282"/>
      <c r="BU188" s="282"/>
      <c r="BV188" s="281"/>
      <c r="BW188" s="281"/>
      <c r="BX188" s="281"/>
      <c r="BY188" s="281"/>
      <c r="BZ188" s="281"/>
      <c r="CA188" s="281"/>
      <c r="CB188" s="281"/>
      <c r="CC188" s="281"/>
      <c r="CD188" s="281"/>
      <c r="CE188" s="281"/>
      <c r="CF188" s="281"/>
      <c r="CG188" s="281"/>
      <c r="CH188" s="281"/>
      <c r="CI188" s="281"/>
    </row>
    <row r="189" spans="1:87" ht="16.2" hidden="1" outlineLevel="1">
      <c r="A189" s="274" t="str">
        <f>E189&amp;G189</f>
        <v>lt002_instrumentmthd_usd_instrmnt_scp_2</v>
      </c>
      <c r="B189" s="142" t="s">
        <v>26</v>
      </c>
      <c r="C189" s="138" t="s">
        <v>26</v>
      </c>
      <c r="D189" s="235" t="s">
        <v>40</v>
      </c>
      <c r="E189" s="238" t="s">
        <v>380</v>
      </c>
      <c r="F189" s="238"/>
      <c r="G189" s="238" t="s">
        <v>387</v>
      </c>
      <c r="H189" s="235" t="str">
        <f>VLOOKUP(A189,'2. Status Detalhe Campos'!$A$7:$G$574,7,0)</f>
        <v>3. Pendente de outros desenvolvimentos</v>
      </c>
      <c r="I189" s="376">
        <v>45603</v>
      </c>
      <c r="J189" s="324">
        <v>45631</v>
      </c>
      <c r="K189" s="324">
        <v>45631</v>
      </c>
      <c r="L189" s="290">
        <f t="array" ref="L189">MIN(IF(W189:CI189&gt;0,$W$16:$CI$16))</f>
        <v>45643</v>
      </c>
      <c r="M189" s="291">
        <f t="array" ref="M189">MAX(IF(W189:CI189&gt;0,$W$16:$CI$16))</f>
        <v>45643</v>
      </c>
      <c r="N189" s="291"/>
      <c r="O189" s="388">
        <f>VLOOKUP(H189,Auxiliar!$B$16:$E$24,4,0)</f>
        <v>0</v>
      </c>
      <c r="P189" s="388">
        <f ca="1">IF(TODAY()&lt;=L189,0,MIN((TODAY()-L189)/(M189-L189+1),100%))</f>
        <v>1</v>
      </c>
      <c r="Q189" s="247">
        <f t="shared" ca="1" si="51"/>
        <v>-1</v>
      </c>
      <c r="R189" s="381"/>
      <c r="S189" s="280"/>
      <c r="T189" s="270">
        <v>4.0999999999999996</v>
      </c>
      <c r="U189" s="270">
        <f>ROUND(T189/8,1)</f>
        <v>0.5</v>
      </c>
      <c r="V189" s="270">
        <f>SUM(W189:CI189)-U189</f>
        <v>0</v>
      </c>
      <c r="W189" s="281"/>
      <c r="X189" s="281"/>
      <c r="Y189" s="281"/>
      <c r="Z189" s="297"/>
      <c r="AA189" s="281"/>
      <c r="AB189" s="289"/>
      <c r="AC189" s="281"/>
      <c r="AD189" s="282"/>
      <c r="AE189" s="281"/>
      <c r="AF189" s="281"/>
      <c r="AG189" s="281"/>
      <c r="AH189" s="289"/>
      <c r="AI189" s="281"/>
      <c r="AJ189" s="281"/>
      <c r="AK189" s="281"/>
      <c r="AL189" s="281"/>
      <c r="AM189" s="281"/>
      <c r="AN189" s="288"/>
      <c r="AO189" s="281"/>
      <c r="AP189" s="281"/>
      <c r="AQ189" s="281"/>
      <c r="AR189" s="281"/>
      <c r="AS189" s="281"/>
      <c r="AT189" s="281"/>
      <c r="AU189" s="289"/>
      <c r="AV189" s="281"/>
      <c r="AW189" s="281"/>
      <c r="AX189" s="281"/>
      <c r="AY189" s="281"/>
      <c r="AZ189" s="281"/>
      <c r="BA189" s="281"/>
      <c r="BB189" s="269"/>
      <c r="BC189" s="281"/>
      <c r="BD189" s="281"/>
      <c r="BE189" s="281"/>
      <c r="BF189" s="281"/>
      <c r="BG189" s="281"/>
      <c r="BH189" s="281"/>
      <c r="BI189" s="281"/>
      <c r="BJ189" s="281">
        <v>0.5</v>
      </c>
      <c r="BK189" s="281"/>
      <c r="BL189" s="281"/>
      <c r="BM189" s="281"/>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hidden="1" outlineLevel="1">
      <c r="A190" s="274" t="str">
        <f>E190&amp;G190</f>
        <v>lt002_instrumentmthd_usd_instrmnt_scp_3</v>
      </c>
      <c r="B190" s="142" t="s">
        <v>26</v>
      </c>
      <c r="C190" s="138" t="s">
        <v>26</v>
      </c>
      <c r="D190" s="235" t="s">
        <v>40</v>
      </c>
      <c r="E190" s="238" t="s">
        <v>380</v>
      </c>
      <c r="F190" s="238"/>
      <c r="G190" s="238" t="s">
        <v>388</v>
      </c>
      <c r="H190" s="235" t="str">
        <f>VLOOKUP(A190,'2. Status Detalhe Campos'!$A$7:$G$574,7,0)</f>
        <v>3. Pendente de outros desenvolvimentos</v>
      </c>
      <c r="I190" s="376">
        <v>45603</v>
      </c>
      <c r="J190" s="324">
        <v>45631</v>
      </c>
      <c r="K190" s="324">
        <v>45631</v>
      </c>
      <c r="L190" s="290">
        <f t="array" ref="L190">MIN(IF(W190:CI190&gt;0,$W$16:$CI$16))</f>
        <v>45643</v>
      </c>
      <c r="M190" s="291">
        <f t="array" ref="M190">MAX(IF(W190:CI190&gt;0,$W$16:$CI$16))</f>
        <v>45643</v>
      </c>
      <c r="N190" s="291"/>
      <c r="O190" s="388">
        <f>VLOOKUP(H190,Auxiliar!$B$16:$E$24,4,0)</f>
        <v>0</v>
      </c>
      <c r="P190" s="388">
        <f ca="1">IF(TODAY()&lt;=L190,0,MIN((TODAY()-L190)/(M190-L190+1),100%))</f>
        <v>1</v>
      </c>
      <c r="Q190" s="247">
        <f t="shared" ca="1" si="51"/>
        <v>-1</v>
      </c>
      <c r="R190" s="381"/>
      <c r="S190" s="280"/>
      <c r="T190" s="270">
        <v>4.0999999999999996</v>
      </c>
      <c r="U190" s="270">
        <f>ROUND(T190/8,1)</f>
        <v>0.5</v>
      </c>
      <c r="V190" s="270">
        <f>SUM(W190:CI190)-U190</f>
        <v>0</v>
      </c>
      <c r="W190" s="281"/>
      <c r="X190" s="281"/>
      <c r="Y190" s="281"/>
      <c r="Z190" s="297"/>
      <c r="AA190" s="281"/>
      <c r="AB190" s="289"/>
      <c r="AC190" s="281"/>
      <c r="AD190" s="282"/>
      <c r="AE190" s="281"/>
      <c r="AF190" s="281"/>
      <c r="AG190" s="281"/>
      <c r="AH190" s="289"/>
      <c r="AI190" s="281"/>
      <c r="AJ190" s="281"/>
      <c r="AK190" s="281"/>
      <c r="AL190" s="281"/>
      <c r="AM190" s="281"/>
      <c r="AN190" s="288"/>
      <c r="AO190" s="281"/>
      <c r="AP190" s="281"/>
      <c r="AQ190" s="281"/>
      <c r="AR190" s="281"/>
      <c r="AS190" s="281"/>
      <c r="AT190" s="281"/>
      <c r="AU190" s="289"/>
      <c r="AV190" s="281"/>
      <c r="AW190" s="281"/>
      <c r="AX190" s="281"/>
      <c r="AY190" s="281"/>
      <c r="AZ190" s="281"/>
      <c r="BA190" s="281"/>
      <c r="BB190" s="269"/>
      <c r="BC190" s="281"/>
      <c r="BD190" s="281"/>
      <c r="BE190" s="281"/>
      <c r="BF190" s="281"/>
      <c r="BG190" s="281"/>
      <c r="BH190" s="281"/>
      <c r="BI190" s="281"/>
      <c r="BJ190" s="281">
        <v>0.5</v>
      </c>
      <c r="BK190" s="281"/>
      <c r="BL190" s="281"/>
      <c r="BM190" s="281"/>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5" customHeight="1" collapsed="1">
      <c r="A191" s="274"/>
      <c r="B191" s="142" t="s">
        <v>26</v>
      </c>
      <c r="C191" s="138" t="s">
        <v>311</v>
      </c>
      <c r="D191" s="134"/>
      <c r="E191" s="239" t="s">
        <v>326</v>
      </c>
      <c r="F191" s="239" t="s">
        <v>1994</v>
      </c>
      <c r="G191" s="240">
        <f>COUNTA(G192:G195)</f>
        <v>4</v>
      </c>
      <c r="H191" s="295" t="s">
        <v>2005</v>
      </c>
      <c r="I191" s="276" t="s">
        <v>38</v>
      </c>
      <c r="J191" s="312">
        <f>MIN(J192:J195)</f>
        <v>45638</v>
      </c>
      <c r="K191" s="276"/>
      <c r="L191" s="277">
        <f>MIN(L192:L195)</f>
        <v>45638</v>
      </c>
      <c r="M191" s="278">
        <f>MAX(M192:M195)</f>
        <v>45646</v>
      </c>
      <c r="N191" s="323">
        <f t="array" ref="N191">MAX(IF(W191:CI191&gt;0,$W$16:$CI$16))</f>
        <v>45646</v>
      </c>
      <c r="O191" s="322">
        <f>SUMPRODUCT(O192:O195,U192:U195)/SUM(U192:U195)</f>
        <v>1</v>
      </c>
      <c r="P191" s="322">
        <f ca="1">SUMPRODUCT(P192:P195,U192:U195)/SUM(U192:U195)</f>
        <v>1</v>
      </c>
      <c r="Q191" s="247">
        <f t="shared" ca="1" si="51"/>
        <v>0</v>
      </c>
      <c r="R191" s="374" t="s">
        <v>2058</v>
      </c>
      <c r="S191" s="280"/>
      <c r="T191" s="270"/>
      <c r="U191" s="270"/>
      <c r="V191" s="270"/>
      <c r="W191" s="281"/>
      <c r="X191" s="281"/>
      <c r="Y191" s="281"/>
      <c r="Z191" s="281"/>
      <c r="AA191" s="281"/>
      <c r="AB191" s="281"/>
      <c r="AC191" s="281"/>
      <c r="AD191" s="282"/>
      <c r="AE191" s="281"/>
      <c r="AF191" s="281"/>
      <c r="AG191" s="281"/>
      <c r="AH191" s="281"/>
      <c r="AI191" s="281"/>
      <c r="AJ191" s="281"/>
      <c r="AK191" s="281"/>
      <c r="AL191" s="281"/>
      <c r="AM191" s="281"/>
      <c r="AN191" s="281"/>
      <c r="AO191" s="281"/>
      <c r="AP191" s="281"/>
      <c r="AQ191" s="281"/>
      <c r="AR191" s="281"/>
      <c r="AS191" s="281"/>
      <c r="AT191" s="281"/>
      <c r="AU191" s="281"/>
      <c r="AV191" s="281"/>
      <c r="AW191" s="283"/>
      <c r="AX191" s="281"/>
      <c r="AY191" s="281"/>
      <c r="AZ191" s="281"/>
      <c r="BA191" s="281"/>
      <c r="BB191" s="281"/>
      <c r="BC191" s="281"/>
      <c r="BD191" s="281"/>
      <c r="BE191" s="281"/>
      <c r="BF191" s="281"/>
      <c r="BG191" s="283"/>
      <c r="BH191" s="281"/>
      <c r="BI191" s="281"/>
      <c r="BJ191" s="281"/>
      <c r="BK191" s="281"/>
      <c r="BL191" s="281"/>
      <c r="BM191" s="326" t="s">
        <v>444</v>
      </c>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6.2" hidden="1" outlineLevel="1">
      <c r="A192" s="274" t="str">
        <f>E192&amp;G192</f>
        <v>modesg_out_empr_info_nfinflg_rsc_fsc_agd</v>
      </c>
      <c r="B192" s="142" t="s">
        <v>26</v>
      </c>
      <c r="C192" s="138" t="s">
        <v>311</v>
      </c>
      <c r="D192" s="235" t="s">
        <v>40</v>
      </c>
      <c r="E192" s="236" t="s">
        <v>326</v>
      </c>
      <c r="F192" s="236"/>
      <c r="G192" s="235" t="s">
        <v>283</v>
      </c>
      <c r="H192" s="235" t="str">
        <f>VLOOKUP(A192,'2. Status Detalhe Campos'!$A$7:$G$574,7,0)</f>
        <v>1. Concluído</v>
      </c>
      <c r="I192" s="276" t="s">
        <v>38</v>
      </c>
      <c r="J192" s="285">
        <v>45638</v>
      </c>
      <c r="K192" s="285">
        <v>45639</v>
      </c>
      <c r="L192" s="290">
        <f t="array" ref="L192">MIN(IF(W192:CI192&gt;0,$W$16:$CI$16))</f>
        <v>45643</v>
      </c>
      <c r="M192" s="291">
        <f t="array" ref="M192">MAX(IF(W192:CI192&gt;0,$W$16:$CI$16))</f>
        <v>45644</v>
      </c>
      <c r="N192" s="291"/>
      <c r="O192" s="248">
        <f>VLOOKUP(H192,Auxiliar!$B$16:$E$24,4,0)</f>
        <v>1</v>
      </c>
      <c r="P192" s="248">
        <f ca="1">IF(TODAY()&lt;=L192,0,MIN((TODAY()-L192)/(M192-L192+1),100%))</f>
        <v>1</v>
      </c>
      <c r="Q192" s="247">
        <f t="shared" ca="1" si="51"/>
        <v>0</v>
      </c>
      <c r="R192" s="380" t="s">
        <v>38</v>
      </c>
      <c r="S192" s="280"/>
      <c r="T192" s="270">
        <v>16.100000000000001</v>
      </c>
      <c r="U192" s="270">
        <f>ROUND(T192/8,1)</f>
        <v>2</v>
      </c>
      <c r="V192" s="270">
        <f>SUM(W192:CI192)-U192</f>
        <v>0</v>
      </c>
      <c r="W192" s="281"/>
      <c r="X192" s="281"/>
      <c r="Y192" s="281"/>
      <c r="Z192" s="281"/>
      <c r="AA192" s="281"/>
      <c r="AB192" s="281"/>
      <c r="AC192" s="281"/>
      <c r="AD192" s="282"/>
      <c r="AE192" s="281"/>
      <c r="AF192" s="281"/>
      <c r="AG192" s="281"/>
      <c r="AH192" s="281"/>
      <c r="AI192" s="281"/>
      <c r="AJ192" s="281"/>
      <c r="AK192" s="281"/>
      <c r="AL192" s="281"/>
      <c r="AM192" s="281"/>
      <c r="AN192" s="281"/>
      <c r="AO192" s="281"/>
      <c r="AP192" s="281"/>
      <c r="AQ192" s="281"/>
      <c r="AR192" s="281"/>
      <c r="AS192" s="281"/>
      <c r="AT192" s="281"/>
      <c r="AU192" s="281"/>
      <c r="AV192" s="281"/>
      <c r="AW192" s="283"/>
      <c r="AX192" s="281"/>
      <c r="AY192" s="281"/>
      <c r="AZ192" s="281"/>
      <c r="BA192" s="281"/>
      <c r="BB192" s="281"/>
      <c r="BC192" s="281"/>
      <c r="BD192" s="281"/>
      <c r="BE192" s="281"/>
      <c r="BF192" s="281"/>
      <c r="BG192" s="283"/>
      <c r="BH192" s="269"/>
      <c r="BI192" s="281"/>
      <c r="BJ192" s="281">
        <v>1</v>
      </c>
      <c r="BK192" s="281">
        <v>1</v>
      </c>
      <c r="BL192" s="281"/>
      <c r="BM192" s="281"/>
      <c r="BN192" s="281"/>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6.2" hidden="1" outlineLevel="1">
      <c r="A193" s="274" t="str">
        <f>E193&amp;G193</f>
        <v>modesg_out_empr_info_nfinflg_rsc_fsc_crnc</v>
      </c>
      <c r="B193" s="142" t="s">
        <v>26</v>
      </c>
      <c r="C193" s="138" t="s">
        <v>311</v>
      </c>
      <c r="D193" s="235" t="s">
        <v>40</v>
      </c>
      <c r="E193" s="236" t="s">
        <v>326</v>
      </c>
      <c r="F193" s="236"/>
      <c r="G193" s="235" t="s">
        <v>284</v>
      </c>
      <c r="H193" s="235" t="str">
        <f>VLOOKUP(A193,'2. Status Detalhe Campos'!$A$7:$G$574,7,0)</f>
        <v>1. Concluído</v>
      </c>
      <c r="I193" s="276" t="s">
        <v>38</v>
      </c>
      <c r="J193" s="285">
        <v>45638</v>
      </c>
      <c r="K193" s="285">
        <v>45639</v>
      </c>
      <c r="L193" s="290">
        <f t="array" ref="L193">MIN(IF(W193:CI193&gt;0,$W$16:$CI$16))</f>
        <v>45645</v>
      </c>
      <c r="M193" s="291">
        <f t="array" ref="M193">MAX(IF(W193:CI193&gt;0,$W$16:$CI$16))</f>
        <v>45646</v>
      </c>
      <c r="N193" s="291"/>
      <c r="O193" s="248">
        <f>VLOOKUP(H193,Auxiliar!$B$16:$E$24,4,0)</f>
        <v>1</v>
      </c>
      <c r="P193" s="248">
        <f ca="1">IF(TODAY()&lt;=L193,0,MIN((TODAY()-L193)/(M193-L193+1),100%))</f>
        <v>1</v>
      </c>
      <c r="Q193" s="247">
        <f t="shared" ca="1" si="51"/>
        <v>0</v>
      </c>
      <c r="R193" s="380" t="s">
        <v>38</v>
      </c>
      <c r="S193" s="280"/>
      <c r="T193" s="270">
        <v>16.100000000000001</v>
      </c>
      <c r="U193" s="270">
        <f>ROUND(T193/8,1)</f>
        <v>2</v>
      </c>
      <c r="V193" s="270">
        <f>SUM(W193:CI193)-U193</f>
        <v>0</v>
      </c>
      <c r="W193" s="281"/>
      <c r="X193" s="281"/>
      <c r="Y193" s="281"/>
      <c r="Z193" s="281"/>
      <c r="AA193" s="281"/>
      <c r="AB193" s="281"/>
      <c r="AC193" s="281"/>
      <c r="AD193" s="282"/>
      <c r="AE193" s="281"/>
      <c r="AF193" s="281"/>
      <c r="AG193" s="281"/>
      <c r="AH193" s="281"/>
      <c r="AI193" s="281"/>
      <c r="AJ193" s="281"/>
      <c r="AK193" s="281"/>
      <c r="AL193" s="281"/>
      <c r="AM193" s="281"/>
      <c r="AN193" s="281"/>
      <c r="AO193" s="281"/>
      <c r="AP193" s="281"/>
      <c r="AQ193" s="281"/>
      <c r="AR193" s="281"/>
      <c r="AS193" s="281"/>
      <c r="AT193" s="281"/>
      <c r="AU193" s="281"/>
      <c r="AV193" s="281"/>
      <c r="AW193" s="283"/>
      <c r="AX193" s="281"/>
      <c r="AY193" s="281"/>
      <c r="AZ193" s="281"/>
      <c r="BA193" s="281"/>
      <c r="BB193" s="281"/>
      <c r="BC193" s="281"/>
      <c r="BD193" s="281"/>
      <c r="BE193" s="281"/>
      <c r="BF193" s="281"/>
      <c r="BG193" s="283"/>
      <c r="BH193" s="269"/>
      <c r="BI193" s="281"/>
      <c r="BJ193" s="281"/>
      <c r="BK193" s="281"/>
      <c r="BL193" s="281">
        <v>1</v>
      </c>
      <c r="BM193" s="281">
        <v>1</v>
      </c>
      <c r="BN193" s="281"/>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c r="A194" s="274" t="str">
        <f>E194&amp;G194</f>
        <v>modesg_out_empr_info_nfinorigem_flg_rsc_fsc_agd</v>
      </c>
      <c r="B194" s="142" t="s">
        <v>26</v>
      </c>
      <c r="C194" s="138" t="s">
        <v>311</v>
      </c>
      <c r="D194" s="235" t="s">
        <v>40</v>
      </c>
      <c r="E194" s="236" t="s">
        <v>326</v>
      </c>
      <c r="F194" s="236"/>
      <c r="G194" s="235" t="s">
        <v>318</v>
      </c>
      <c r="H194" s="235" t="str">
        <f>VLOOKUP(A194,'2. Status Detalhe Campos'!$A$7:$G$574,7,0)</f>
        <v>1. Concluído</v>
      </c>
      <c r="I194" s="276" t="s">
        <v>38</v>
      </c>
      <c r="J194" s="285">
        <v>45638</v>
      </c>
      <c r="K194" s="285">
        <v>45639</v>
      </c>
      <c r="L194" s="290">
        <f t="array" ref="L194">MIN(IF(W194:CI194&gt;0,$W$16:$CI$16))</f>
        <v>45638</v>
      </c>
      <c r="M194" s="291">
        <f t="array" ref="M194">MAX(IF(W194:CI194&gt;0,$W$16:$CI$16))</f>
        <v>45638</v>
      </c>
      <c r="N194" s="291"/>
      <c r="O194" s="248">
        <f>VLOOKUP(H194,Auxiliar!$B$16:$E$24,4,0)</f>
        <v>1</v>
      </c>
      <c r="P194" s="248">
        <f ca="1">IF(TODAY()&lt;=L194,0,MIN((TODAY()-L194)/(M194-L194+1),100%))</f>
        <v>1</v>
      </c>
      <c r="Q194" s="247">
        <f t="shared" ca="1" si="51"/>
        <v>0</v>
      </c>
      <c r="R194" s="380" t="s">
        <v>38</v>
      </c>
      <c r="S194" s="280"/>
      <c r="T194" s="270">
        <v>4.0999999999999996</v>
      </c>
      <c r="U194" s="270">
        <f>ROUND(T194/8,1)</f>
        <v>0.5</v>
      </c>
      <c r="V194" s="270">
        <f>SUM(W194:CI194)-U194</f>
        <v>0</v>
      </c>
      <c r="W194" s="281"/>
      <c r="X194" s="281"/>
      <c r="Y194" s="281"/>
      <c r="Z194" s="281"/>
      <c r="AA194" s="281"/>
      <c r="AB194" s="281"/>
      <c r="AC194" s="281"/>
      <c r="AD194" s="282"/>
      <c r="AE194" s="281"/>
      <c r="AF194" s="281"/>
      <c r="AG194" s="281"/>
      <c r="AH194" s="281"/>
      <c r="AI194" s="281"/>
      <c r="AJ194" s="281"/>
      <c r="AK194" s="281"/>
      <c r="AL194" s="281"/>
      <c r="AM194" s="281"/>
      <c r="AN194" s="281"/>
      <c r="AO194" s="281"/>
      <c r="AP194" s="281"/>
      <c r="AQ194" s="281"/>
      <c r="AR194" s="281"/>
      <c r="AS194" s="281"/>
      <c r="AT194" s="281"/>
      <c r="AU194" s="281"/>
      <c r="AV194" s="281"/>
      <c r="AW194" s="283"/>
      <c r="AX194" s="281"/>
      <c r="AY194" s="281"/>
      <c r="AZ194" s="281"/>
      <c r="BA194" s="281"/>
      <c r="BB194" s="281"/>
      <c r="BC194" s="281"/>
      <c r="BD194" s="281"/>
      <c r="BE194" s="281"/>
      <c r="BF194" s="281"/>
      <c r="BG194" s="283">
        <v>0.5</v>
      </c>
      <c r="BH194" s="269"/>
      <c r="BI194" s="281"/>
      <c r="BJ194" s="281"/>
      <c r="BK194" s="281"/>
      <c r="BL194" s="281"/>
      <c r="BM194" s="281"/>
      <c r="BN194" s="281"/>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c r="A195" s="274" t="str">
        <f>E195&amp;G195</f>
        <v>modesg_out_empr_info_nfinorigem_flg_rsc_fsc_crnc</v>
      </c>
      <c r="B195" s="142" t="s">
        <v>26</v>
      </c>
      <c r="C195" s="138" t="s">
        <v>311</v>
      </c>
      <c r="D195" s="235" t="s">
        <v>40</v>
      </c>
      <c r="E195" s="236" t="s">
        <v>326</v>
      </c>
      <c r="F195" s="236"/>
      <c r="G195" s="235" t="s">
        <v>319</v>
      </c>
      <c r="H195" s="235" t="str">
        <f>VLOOKUP(A195,'2. Status Detalhe Campos'!$A$7:$G$574,7,0)</f>
        <v>1. Concluído</v>
      </c>
      <c r="I195" s="276" t="s">
        <v>38</v>
      </c>
      <c r="J195" s="285">
        <v>45638</v>
      </c>
      <c r="K195" s="285">
        <v>45639</v>
      </c>
      <c r="L195" s="290">
        <f t="array" ref="L195">MIN(IF(W195:CI195&gt;0,$W$16:$CI$16))</f>
        <v>45638</v>
      </c>
      <c r="M195" s="291">
        <f t="array" ref="M195">MAX(IF(W195:CI195&gt;0,$W$16:$CI$16))</f>
        <v>45638</v>
      </c>
      <c r="N195" s="291"/>
      <c r="O195" s="248">
        <f>VLOOKUP(H195,Auxiliar!$B$16:$E$24,4,0)</f>
        <v>1</v>
      </c>
      <c r="P195" s="248">
        <f ca="1">IF(TODAY()&lt;=L195,0,MIN((TODAY()-L195)/(M195-L195+1),100%))</f>
        <v>1</v>
      </c>
      <c r="Q195" s="247">
        <f t="shared" ca="1" si="51"/>
        <v>0</v>
      </c>
      <c r="R195" s="380" t="s">
        <v>38</v>
      </c>
      <c r="S195" s="280"/>
      <c r="T195" s="270">
        <v>4.0999999999999996</v>
      </c>
      <c r="U195" s="270">
        <f>ROUND(T195/8,1)</f>
        <v>0.5</v>
      </c>
      <c r="V195" s="270">
        <f>SUM(W195:CI195)-U195</f>
        <v>0</v>
      </c>
      <c r="W195" s="281"/>
      <c r="X195" s="281"/>
      <c r="Y195" s="281"/>
      <c r="Z195" s="281"/>
      <c r="AA195" s="281"/>
      <c r="AB195" s="281"/>
      <c r="AC195" s="281"/>
      <c r="AD195" s="282"/>
      <c r="AE195" s="281"/>
      <c r="AF195" s="281"/>
      <c r="AG195" s="281"/>
      <c r="AH195" s="281"/>
      <c r="AI195" s="281"/>
      <c r="AJ195" s="281"/>
      <c r="AK195" s="281"/>
      <c r="AL195" s="281"/>
      <c r="AM195" s="281"/>
      <c r="AN195" s="281"/>
      <c r="AO195" s="281"/>
      <c r="AP195" s="281"/>
      <c r="AQ195" s="281"/>
      <c r="AR195" s="281"/>
      <c r="AS195" s="281"/>
      <c r="AT195" s="281"/>
      <c r="AU195" s="281"/>
      <c r="AV195" s="281"/>
      <c r="AW195" s="283"/>
      <c r="AX195" s="281"/>
      <c r="AY195" s="281"/>
      <c r="AZ195" s="281"/>
      <c r="BA195" s="281"/>
      <c r="BB195" s="281"/>
      <c r="BC195" s="281"/>
      <c r="BD195" s="281"/>
      <c r="BE195" s="281"/>
      <c r="BF195" s="281"/>
      <c r="BG195" s="283">
        <v>0.5</v>
      </c>
      <c r="BH195" s="269"/>
      <c r="BI195" s="281"/>
      <c r="BJ195" s="281"/>
      <c r="BK195" s="281"/>
      <c r="BL195" s="281"/>
      <c r="BM195" s="281"/>
      <c r="BN195" s="281"/>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5" customHeight="1" collapsed="1">
      <c r="A196" s="274"/>
      <c r="B196" s="142" t="s">
        <v>26</v>
      </c>
      <c r="C196" s="138" t="s">
        <v>26</v>
      </c>
      <c r="D196" s="134"/>
      <c r="E196" s="241" t="s">
        <v>369</v>
      </c>
      <c r="F196" s="239" t="s">
        <v>2012</v>
      </c>
      <c r="G196" s="240">
        <f>COUNTA(G197:G202)</f>
        <v>6</v>
      </c>
      <c r="H196" s="298" t="s">
        <v>2010</v>
      </c>
      <c r="I196" s="304">
        <f>MIN(I197:I202)</f>
        <v>45603</v>
      </c>
      <c r="J196" s="277">
        <f>MIN(J197:J202)</f>
        <v>45631</v>
      </c>
      <c r="K196" s="277">
        <f>MIN(K197:K202)</f>
        <v>45631</v>
      </c>
      <c r="L196" s="278">
        <f>MIN(L197:L202)</f>
        <v>45649</v>
      </c>
      <c r="M196" s="278">
        <f>MAX(M197:M202)</f>
        <v>45649</v>
      </c>
      <c r="N196" s="323">
        <f t="array" ref="N196">MAX(IF(W196:CI196&gt;0,$W$16:$CI$16))</f>
        <v>45667</v>
      </c>
      <c r="O196" s="250">
        <f>SUMPRODUCT(O197:O202,U197:U202)/SUM(U197:U202)</f>
        <v>1</v>
      </c>
      <c r="P196" s="250">
        <f ca="1">SUMPRODUCT(P197:P202,U197:U202)/SUM(U197:U202)</f>
        <v>1</v>
      </c>
      <c r="Q196" s="247">
        <f t="shared" ref="Q196:Q202" ca="1" si="52">O196-P196</f>
        <v>0</v>
      </c>
      <c r="R196" s="380"/>
      <c r="S196" s="280"/>
      <c r="T196" s="270"/>
      <c r="U196" s="270"/>
      <c r="V196" s="270"/>
      <c r="W196" s="281"/>
      <c r="X196" s="281"/>
      <c r="Y196" s="281"/>
      <c r="Z196" s="281"/>
      <c r="AA196" s="281"/>
      <c r="AB196" s="281"/>
      <c r="AC196" s="288"/>
      <c r="AD196" s="282"/>
      <c r="AE196" s="281"/>
      <c r="AF196" s="281"/>
      <c r="AG196" s="281"/>
      <c r="AH196" s="289"/>
      <c r="AI196" s="281"/>
      <c r="AJ196" s="281"/>
      <c r="AK196" s="281"/>
      <c r="AL196" s="281"/>
      <c r="AM196" s="281"/>
      <c r="AN196" s="288"/>
      <c r="AO196" s="281"/>
      <c r="AP196" s="281"/>
      <c r="AQ196" s="281"/>
      <c r="AR196" s="281"/>
      <c r="AS196" s="281"/>
      <c r="AT196" s="281"/>
      <c r="AU196" s="289"/>
      <c r="AV196" s="281"/>
      <c r="AW196" s="281"/>
      <c r="AX196" s="281"/>
      <c r="AY196" s="281"/>
      <c r="AZ196" s="281"/>
      <c r="BA196" s="281"/>
      <c r="BB196" s="269"/>
      <c r="BC196" s="281"/>
      <c r="BD196" s="281"/>
      <c r="BE196" s="281"/>
      <c r="BF196" s="281"/>
      <c r="BG196" s="281"/>
      <c r="BH196" s="281"/>
      <c r="BI196" s="281"/>
      <c r="BJ196" s="281"/>
      <c r="BK196" s="281"/>
      <c r="BL196" s="281"/>
      <c r="BM196" s="281"/>
      <c r="BO196" s="282"/>
      <c r="BP196" s="282"/>
      <c r="BQ196" s="282"/>
      <c r="BR196" s="282"/>
      <c r="BS196" s="282"/>
      <c r="BT196" s="282"/>
      <c r="BU196" s="282"/>
      <c r="BV196" s="281"/>
      <c r="BW196" s="281"/>
      <c r="BX196" s="281"/>
      <c r="BY196" s="281"/>
      <c r="BZ196" s="281"/>
      <c r="CA196" s="281"/>
      <c r="CB196" s="284" t="s">
        <v>444</v>
      </c>
      <c r="CC196" s="281"/>
      <c r="CD196" s="281"/>
      <c r="CE196" s="281"/>
      <c r="CF196" s="281"/>
      <c r="CG196" s="281"/>
      <c r="CH196" s="281"/>
      <c r="CI196" s="281"/>
    </row>
    <row r="197" spans="1:87" ht="16.2" hidden="1" outlineLevel="1">
      <c r="A197" s="274" t="str">
        <f t="shared" ref="A197:A202" si="53">E197&amp;G197</f>
        <v>lt004_protectionemssns_scp1_prtctn</v>
      </c>
      <c r="B197" s="142" t="s">
        <v>26</v>
      </c>
      <c r="C197" s="138" t="s">
        <v>26</v>
      </c>
      <c r="D197" s="235" t="s">
        <v>40</v>
      </c>
      <c r="E197" s="238" t="s">
        <v>369</v>
      </c>
      <c r="F197" s="238"/>
      <c r="G197" s="242" t="s">
        <v>374</v>
      </c>
      <c r="H197" s="235" t="str">
        <f>VLOOKUP(A197,'2. Status Detalhe Campos'!$A$7:$G$574,7,0)</f>
        <v>1. Concluído</v>
      </c>
      <c r="I197" s="377">
        <v>45603</v>
      </c>
      <c r="J197" s="324">
        <v>45631</v>
      </c>
      <c r="K197" s="324">
        <v>45631</v>
      </c>
      <c r="L197" s="290">
        <f t="array" ref="L197">MIN(IF(W197:CI197&gt;0,$W$16:$CI$16))</f>
        <v>45649</v>
      </c>
      <c r="M197" s="291">
        <f t="array" ref="M197">MAX(IF(W197:CI197&gt;0,$W$16:$CI$16))</f>
        <v>45649</v>
      </c>
      <c r="N197" s="291"/>
      <c r="O197" s="248">
        <f>VLOOKUP(H197,Auxiliar!$B$16:$E$24,4,0)</f>
        <v>1</v>
      </c>
      <c r="P197" s="248">
        <f t="shared" ref="P197:P202" ca="1" si="54">IF(TODAY()&lt;=L197,0,MIN((TODAY()-L197)/(M197-L197+1),100%))</f>
        <v>1</v>
      </c>
      <c r="Q197" s="247">
        <f t="shared" ca="1" si="52"/>
        <v>0</v>
      </c>
      <c r="R197" s="380" t="s">
        <v>38</v>
      </c>
      <c r="S197" s="280" t="s">
        <v>1947</v>
      </c>
      <c r="T197" s="270">
        <v>4.0999999999999996</v>
      </c>
      <c r="U197" s="270">
        <f t="shared" ref="U197:U202" si="55">ROUND(T197/8,1)</f>
        <v>0.5</v>
      </c>
      <c r="V197" s="270">
        <f t="shared" ref="V197:V202" si="56">SUM(W197:CI197)-U197</f>
        <v>0</v>
      </c>
      <c r="W197" s="281"/>
      <c r="X197" s="281"/>
      <c r="Y197" s="281"/>
      <c r="Z197" s="281"/>
      <c r="AA197" s="281"/>
      <c r="AB197" s="281"/>
      <c r="AC197" s="288"/>
      <c r="AD197" s="282"/>
      <c r="AE197" s="281"/>
      <c r="AF197" s="281"/>
      <c r="AG197" s="281"/>
      <c r="AH197" s="289"/>
      <c r="AI197" s="281"/>
      <c r="AJ197" s="281"/>
      <c r="AK197" s="281"/>
      <c r="AL197" s="281"/>
      <c r="AM197" s="281"/>
      <c r="AN197" s="288"/>
      <c r="AO197" s="281"/>
      <c r="AP197" s="281"/>
      <c r="AQ197" s="281"/>
      <c r="AR197" s="281"/>
      <c r="AS197" s="281"/>
      <c r="AT197" s="281"/>
      <c r="AU197" s="289"/>
      <c r="AV197" s="281"/>
      <c r="AW197" s="281"/>
      <c r="AX197" s="281"/>
      <c r="AY197" s="281"/>
      <c r="AZ197" s="281"/>
      <c r="BA197" s="281"/>
      <c r="BB197" s="269"/>
      <c r="BC197" s="281"/>
      <c r="BD197" s="281"/>
      <c r="BE197" s="281"/>
      <c r="BF197" s="281"/>
      <c r="BG197" s="281"/>
      <c r="BH197" s="281"/>
      <c r="BI197" s="281"/>
      <c r="BJ197" s="281"/>
      <c r="BK197" s="281"/>
      <c r="BL197" s="281"/>
      <c r="BM197" s="281"/>
      <c r="BN197" s="281">
        <v>0.5</v>
      </c>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6.2" hidden="1" outlineLevel="1">
      <c r="A198" s="274" t="str">
        <f t="shared" si="53"/>
        <v>lt004_protectionemssns_scp2_prtctn</v>
      </c>
      <c r="B198" s="142" t="s">
        <v>26</v>
      </c>
      <c r="C198" s="138" t="s">
        <v>26</v>
      </c>
      <c r="D198" s="235" t="s">
        <v>40</v>
      </c>
      <c r="E198" s="238" t="s">
        <v>369</v>
      </c>
      <c r="F198" s="238"/>
      <c r="G198" s="242" t="s">
        <v>375</v>
      </c>
      <c r="H198" s="235" t="str">
        <f>VLOOKUP(A198,'2. Status Detalhe Campos'!$A$7:$G$574,7,0)</f>
        <v>1. Concluído</v>
      </c>
      <c r="I198" s="377">
        <v>45603</v>
      </c>
      <c r="J198" s="324">
        <v>45631</v>
      </c>
      <c r="K198" s="324">
        <v>45631</v>
      </c>
      <c r="L198" s="290">
        <f t="array" ref="L198">MIN(IF(W198:CI198&gt;0,$W$16:$CI$16))</f>
        <v>45649</v>
      </c>
      <c r="M198" s="291">
        <f t="array" ref="M198">MAX(IF(W198:CI198&gt;0,$W$16:$CI$16))</f>
        <v>45649</v>
      </c>
      <c r="N198" s="291"/>
      <c r="O198" s="248">
        <f>VLOOKUP(H198,Auxiliar!$B$16:$E$24,4,0)</f>
        <v>1</v>
      </c>
      <c r="P198" s="248">
        <f t="shared" ca="1" si="54"/>
        <v>1</v>
      </c>
      <c r="Q198" s="247">
        <f t="shared" ca="1" si="52"/>
        <v>0</v>
      </c>
      <c r="R198" s="380" t="s">
        <v>38</v>
      </c>
      <c r="S198" s="280" t="s">
        <v>1947</v>
      </c>
      <c r="T198" s="270">
        <v>4.0999999999999996</v>
      </c>
      <c r="U198" s="270">
        <f t="shared" si="55"/>
        <v>0.5</v>
      </c>
      <c r="V198" s="270">
        <f t="shared" si="56"/>
        <v>0</v>
      </c>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N198" s="281">
        <v>0.5</v>
      </c>
      <c r="BO198" s="282"/>
      <c r="BP198" s="282"/>
      <c r="BQ198" s="282"/>
      <c r="BR198" s="282"/>
      <c r="BS198" s="282"/>
      <c r="BT198" s="282"/>
      <c r="BU198" s="282"/>
      <c r="BV198" s="281"/>
      <c r="BW198" s="281"/>
      <c r="BX198" s="281"/>
      <c r="BY198" s="281"/>
      <c r="BZ198" s="281"/>
      <c r="CA198" s="281"/>
      <c r="CB198" s="281"/>
      <c r="CC198" s="281"/>
      <c r="CD198" s="281"/>
      <c r="CE198" s="281"/>
      <c r="CF198" s="281"/>
      <c r="CG198" s="281"/>
      <c r="CH198" s="281"/>
      <c r="CI198" s="281"/>
    </row>
    <row r="199" spans="1:87" ht="16.2" hidden="1" outlineLevel="1">
      <c r="A199" s="274" t="str">
        <f t="shared" si="53"/>
        <v>lt004_protectionemssns_scp3_prtctn</v>
      </c>
      <c r="B199" s="142" t="s">
        <v>26</v>
      </c>
      <c r="C199" s="138" t="s">
        <v>26</v>
      </c>
      <c r="D199" s="235" t="s">
        <v>40</v>
      </c>
      <c r="E199" s="238" t="s">
        <v>369</v>
      </c>
      <c r="F199" s="238"/>
      <c r="G199" s="242" t="s">
        <v>376</v>
      </c>
      <c r="H199" s="235" t="str">
        <f>VLOOKUP(A199,'2. Status Detalhe Campos'!$A$7:$G$574,7,0)</f>
        <v>1. Concluído</v>
      </c>
      <c r="I199" s="377">
        <v>45603</v>
      </c>
      <c r="J199" s="324">
        <v>45631</v>
      </c>
      <c r="K199" s="324">
        <v>45631</v>
      </c>
      <c r="L199" s="290">
        <f t="array" ref="L199">MIN(IF(W199:CI199&gt;0,$W$16:$CI$16))</f>
        <v>45649</v>
      </c>
      <c r="M199" s="291">
        <f t="array" ref="M199">MAX(IF(W199:CI199&gt;0,$W$16:$CI$16))</f>
        <v>45649</v>
      </c>
      <c r="N199" s="291"/>
      <c r="O199" s="248">
        <f>VLOOKUP(H199,Auxiliar!$B$16:$E$24,4,0)</f>
        <v>1</v>
      </c>
      <c r="P199" s="248">
        <f t="shared" ca="1" si="54"/>
        <v>1</v>
      </c>
      <c r="Q199" s="247">
        <f t="shared" ca="1" si="52"/>
        <v>0</v>
      </c>
      <c r="R199" s="380" t="s">
        <v>38</v>
      </c>
      <c r="S199" s="280" t="s">
        <v>1947</v>
      </c>
      <c r="T199" s="270">
        <v>4.0999999999999996</v>
      </c>
      <c r="U199" s="270">
        <f t="shared" si="55"/>
        <v>0.5</v>
      </c>
      <c r="V199" s="270">
        <f t="shared" si="56"/>
        <v>0</v>
      </c>
      <c r="W199" s="281"/>
      <c r="X199" s="281"/>
      <c r="Y199" s="281"/>
      <c r="Z199" s="281"/>
      <c r="AA199" s="281"/>
      <c r="AB199" s="281"/>
      <c r="AC199" s="288"/>
      <c r="AD199" s="282"/>
      <c r="AE199" s="281"/>
      <c r="AF199" s="281"/>
      <c r="AG199" s="281"/>
      <c r="AH199" s="289"/>
      <c r="AI199" s="281"/>
      <c r="AJ199" s="281"/>
      <c r="AK199" s="281"/>
      <c r="AL199" s="281"/>
      <c r="AM199" s="281"/>
      <c r="AN199" s="288"/>
      <c r="AO199" s="281"/>
      <c r="AP199" s="281"/>
      <c r="AQ199" s="281"/>
      <c r="AR199" s="281"/>
      <c r="AS199" s="281"/>
      <c r="AT199" s="281"/>
      <c r="AU199" s="289"/>
      <c r="AV199" s="281"/>
      <c r="AW199" s="281"/>
      <c r="AX199" s="281"/>
      <c r="AY199" s="281"/>
      <c r="AZ199" s="281"/>
      <c r="BA199" s="281"/>
      <c r="BB199" s="269"/>
      <c r="BC199" s="281"/>
      <c r="BD199" s="281"/>
      <c r="BE199" s="281"/>
      <c r="BF199" s="281"/>
      <c r="BG199" s="281"/>
      <c r="BH199" s="281"/>
      <c r="BI199" s="281"/>
      <c r="BJ199" s="281"/>
      <c r="BK199" s="281"/>
      <c r="BL199" s="281"/>
      <c r="BM199" s="281"/>
      <c r="BN199" s="281">
        <v>0.5</v>
      </c>
      <c r="BO199" s="282"/>
      <c r="BP199" s="282"/>
      <c r="BQ199" s="282"/>
      <c r="BR199" s="282"/>
      <c r="BS199" s="282"/>
      <c r="BT199" s="282"/>
      <c r="BU199" s="282"/>
      <c r="BV199" s="281"/>
      <c r="BW199" s="281"/>
      <c r="BX199" s="281"/>
      <c r="BY199" s="281"/>
      <c r="BZ199" s="281"/>
      <c r="CA199" s="281"/>
      <c r="CB199" s="281"/>
      <c r="CC199" s="281"/>
      <c r="CD199" s="281"/>
      <c r="CE199" s="281"/>
      <c r="CF199" s="281"/>
      <c r="CG199" s="281"/>
      <c r="CH199" s="281"/>
      <c r="CI199" s="281"/>
    </row>
    <row r="200" spans="1:87" ht="16.2" hidden="1" outlineLevel="1">
      <c r="A200" s="274" t="str">
        <f t="shared" si="53"/>
        <v>lt004_protectionmthd_usd_prtctn_scp_1</v>
      </c>
      <c r="B200" s="142" t="s">
        <v>26</v>
      </c>
      <c r="C200" s="138" t="s">
        <v>26</v>
      </c>
      <c r="D200" s="235" t="s">
        <v>40</v>
      </c>
      <c r="E200" s="238" t="s">
        <v>369</v>
      </c>
      <c r="F200" s="238"/>
      <c r="G200" s="242" t="s">
        <v>377</v>
      </c>
      <c r="H200" s="235" t="str">
        <f>VLOOKUP(A200,'2. Status Detalhe Campos'!$A$7:$G$574,7,0)</f>
        <v>1. Concluído</v>
      </c>
      <c r="I200" s="377">
        <v>45603</v>
      </c>
      <c r="J200" s="324">
        <v>45631</v>
      </c>
      <c r="K200" s="324">
        <v>45631</v>
      </c>
      <c r="L200" s="290">
        <f t="array" ref="L200">MIN(IF(W200:CI200&gt;0,$W$16:$CI$16))</f>
        <v>45649</v>
      </c>
      <c r="M200" s="291">
        <f t="array" ref="M200">MAX(IF(W200:CI200&gt;0,$W$16:$CI$16))</f>
        <v>45649</v>
      </c>
      <c r="N200" s="291"/>
      <c r="O200" s="248">
        <f>VLOOKUP(H200,Auxiliar!$B$16:$E$24,4,0)</f>
        <v>1</v>
      </c>
      <c r="P200" s="248">
        <f t="shared" ca="1" si="54"/>
        <v>1</v>
      </c>
      <c r="Q200" s="247">
        <f t="shared" ca="1" si="52"/>
        <v>0</v>
      </c>
      <c r="R200" s="380" t="s">
        <v>38</v>
      </c>
      <c r="S200" s="280" t="s">
        <v>1947</v>
      </c>
      <c r="T200" s="270">
        <v>4.0999999999999996</v>
      </c>
      <c r="U200" s="270">
        <f t="shared" si="55"/>
        <v>0.5</v>
      </c>
      <c r="V200" s="270">
        <f t="shared" si="56"/>
        <v>0</v>
      </c>
      <c r="W200" s="281"/>
      <c r="X200" s="281"/>
      <c r="Y200" s="281"/>
      <c r="Z200" s="281"/>
      <c r="AA200" s="281"/>
      <c r="AB200" s="281"/>
      <c r="AC200" s="288"/>
      <c r="AD200" s="282"/>
      <c r="AE200" s="281"/>
      <c r="AF200" s="281"/>
      <c r="AG200" s="281"/>
      <c r="AH200" s="289"/>
      <c r="AI200" s="281"/>
      <c r="AJ200" s="281"/>
      <c r="AK200" s="281"/>
      <c r="AL200" s="281"/>
      <c r="AM200" s="281"/>
      <c r="AN200" s="288"/>
      <c r="AO200" s="281"/>
      <c r="AP200" s="281"/>
      <c r="AQ200" s="281"/>
      <c r="AR200" s="281"/>
      <c r="AS200" s="281"/>
      <c r="AT200" s="281"/>
      <c r="AU200" s="289"/>
      <c r="AV200" s="281"/>
      <c r="AW200" s="281"/>
      <c r="AX200" s="281"/>
      <c r="AY200" s="281"/>
      <c r="AZ200" s="281"/>
      <c r="BA200" s="281"/>
      <c r="BB200" s="269"/>
      <c r="BC200" s="281"/>
      <c r="BD200" s="281"/>
      <c r="BE200" s="281"/>
      <c r="BF200" s="281"/>
      <c r="BG200" s="281"/>
      <c r="BH200" s="281"/>
      <c r="BI200" s="281"/>
      <c r="BJ200" s="281"/>
      <c r="BK200" s="281"/>
      <c r="BL200" s="281"/>
      <c r="BM200" s="281"/>
      <c r="BN200" s="281">
        <v>0.5</v>
      </c>
      <c r="BO200" s="282"/>
      <c r="BP200" s="282"/>
      <c r="BQ200" s="282"/>
      <c r="BR200" s="282"/>
      <c r="BS200" s="282"/>
      <c r="BT200" s="282"/>
      <c r="BU200" s="282"/>
      <c r="BV200" s="281"/>
      <c r="BW200" s="281"/>
      <c r="BX200" s="281"/>
      <c r="BY200" s="281"/>
      <c r="BZ200" s="281"/>
      <c r="CA200" s="281"/>
      <c r="CB200" s="281"/>
      <c r="CC200" s="281"/>
      <c r="CD200" s="281"/>
      <c r="CE200" s="281"/>
      <c r="CF200" s="281"/>
      <c r="CG200" s="281"/>
      <c r="CH200" s="281"/>
      <c r="CI200" s="281"/>
    </row>
    <row r="201" spans="1:87" ht="16.2" hidden="1" outlineLevel="1">
      <c r="A201" s="274" t="str">
        <f t="shared" si="53"/>
        <v>lt004_protectionmthd_usd_prtctn_scp_2</v>
      </c>
      <c r="B201" s="142" t="s">
        <v>26</v>
      </c>
      <c r="C201" s="138" t="s">
        <v>26</v>
      </c>
      <c r="D201" s="235" t="s">
        <v>40</v>
      </c>
      <c r="E201" s="238" t="s">
        <v>369</v>
      </c>
      <c r="F201" s="238"/>
      <c r="G201" s="242" t="s">
        <v>378</v>
      </c>
      <c r="H201" s="235" t="str">
        <f>VLOOKUP(A201,'2. Status Detalhe Campos'!$A$7:$G$574,7,0)</f>
        <v>1. Concluído</v>
      </c>
      <c r="I201" s="377">
        <v>45603</v>
      </c>
      <c r="J201" s="324">
        <v>45631</v>
      </c>
      <c r="K201" s="324">
        <v>45631</v>
      </c>
      <c r="L201" s="290">
        <f t="array" ref="L201">MIN(IF(W201:CI201&gt;0,$W$16:$CI$16))</f>
        <v>45649</v>
      </c>
      <c r="M201" s="291">
        <f t="array" ref="M201">MAX(IF(W201:CI201&gt;0,$W$16:$CI$16))</f>
        <v>45649</v>
      </c>
      <c r="N201" s="291"/>
      <c r="O201" s="248">
        <f>VLOOKUP(H201,Auxiliar!$B$16:$E$24,4,0)</f>
        <v>1</v>
      </c>
      <c r="P201" s="248">
        <f t="shared" ca="1" si="54"/>
        <v>1</v>
      </c>
      <c r="Q201" s="247">
        <f t="shared" ca="1" si="52"/>
        <v>0</v>
      </c>
      <c r="R201" s="380" t="s">
        <v>38</v>
      </c>
      <c r="S201" s="280" t="s">
        <v>1947</v>
      </c>
      <c r="T201" s="270">
        <v>4.0999999999999996</v>
      </c>
      <c r="U201" s="270">
        <f t="shared" si="55"/>
        <v>0.5</v>
      </c>
      <c r="V201" s="270">
        <f t="shared" si="56"/>
        <v>0</v>
      </c>
      <c r="W201" s="281"/>
      <c r="X201" s="281"/>
      <c r="Y201" s="281"/>
      <c r="Z201" s="281"/>
      <c r="AA201" s="281"/>
      <c r="AB201" s="281"/>
      <c r="AC201" s="288"/>
      <c r="AD201" s="282"/>
      <c r="AE201" s="281"/>
      <c r="AF201" s="281"/>
      <c r="AG201" s="281"/>
      <c r="AH201" s="289"/>
      <c r="AI201" s="281"/>
      <c r="AJ201" s="281"/>
      <c r="AK201" s="281"/>
      <c r="AL201" s="281"/>
      <c r="AM201" s="281"/>
      <c r="AN201" s="288"/>
      <c r="AO201" s="281"/>
      <c r="AP201" s="281"/>
      <c r="AQ201" s="281"/>
      <c r="AR201" s="281"/>
      <c r="AS201" s="281"/>
      <c r="AT201" s="281"/>
      <c r="AU201" s="289"/>
      <c r="AV201" s="281"/>
      <c r="AW201" s="281"/>
      <c r="AX201" s="281"/>
      <c r="AY201" s="281"/>
      <c r="AZ201" s="281"/>
      <c r="BA201" s="281"/>
      <c r="BB201" s="269"/>
      <c r="BC201" s="281"/>
      <c r="BD201" s="281"/>
      <c r="BE201" s="281"/>
      <c r="BF201" s="281"/>
      <c r="BG201" s="281"/>
      <c r="BH201" s="281"/>
      <c r="BI201" s="281"/>
      <c r="BJ201" s="281"/>
      <c r="BK201" s="281"/>
      <c r="BL201" s="281"/>
      <c r="BM201" s="281"/>
      <c r="BN201" s="281">
        <v>0.5</v>
      </c>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6.2" hidden="1" outlineLevel="1">
      <c r="A202" s="274" t="str">
        <f t="shared" si="53"/>
        <v>lt004_protectionmthd_usd_prtctn_scp_3</v>
      </c>
      <c r="B202" s="142" t="s">
        <v>26</v>
      </c>
      <c r="C202" s="138" t="s">
        <v>26</v>
      </c>
      <c r="D202" s="235" t="s">
        <v>40</v>
      </c>
      <c r="E202" s="238" t="s">
        <v>369</v>
      </c>
      <c r="F202" s="238"/>
      <c r="G202" s="242" t="s">
        <v>379</v>
      </c>
      <c r="H202" s="235" t="str">
        <f>VLOOKUP(A202,'2. Status Detalhe Campos'!$A$7:$G$574,7,0)</f>
        <v>1. Concluído</v>
      </c>
      <c r="I202" s="377">
        <v>45603</v>
      </c>
      <c r="J202" s="324">
        <v>45631</v>
      </c>
      <c r="K202" s="324">
        <v>45631</v>
      </c>
      <c r="L202" s="290">
        <f t="array" ref="L202">MIN(IF(W202:CI202&gt;0,$W$16:$CI$16))</f>
        <v>45649</v>
      </c>
      <c r="M202" s="291">
        <f t="array" ref="M202">MAX(IF(W202:CI202&gt;0,$W$16:$CI$16))</f>
        <v>45649</v>
      </c>
      <c r="N202" s="291"/>
      <c r="O202" s="248">
        <f>VLOOKUP(H202,Auxiliar!$B$16:$E$24,4,0)</f>
        <v>1</v>
      </c>
      <c r="P202" s="248">
        <f t="shared" ca="1" si="54"/>
        <v>1</v>
      </c>
      <c r="Q202" s="247">
        <f t="shared" ca="1" si="52"/>
        <v>0</v>
      </c>
      <c r="R202" s="380" t="s">
        <v>38</v>
      </c>
      <c r="S202" s="280" t="s">
        <v>1947</v>
      </c>
      <c r="T202" s="270">
        <v>4.0999999999999996</v>
      </c>
      <c r="U202" s="270">
        <f t="shared" si="55"/>
        <v>0.5</v>
      </c>
      <c r="V202" s="270">
        <f t="shared" si="56"/>
        <v>0</v>
      </c>
      <c r="W202" s="281"/>
      <c r="X202" s="281"/>
      <c r="Y202" s="281"/>
      <c r="Z202" s="281"/>
      <c r="AA202" s="281"/>
      <c r="AB202" s="281"/>
      <c r="AC202" s="288"/>
      <c r="AD202" s="282"/>
      <c r="AE202" s="281"/>
      <c r="AF202" s="281"/>
      <c r="AG202" s="281"/>
      <c r="AH202" s="289"/>
      <c r="AI202" s="281"/>
      <c r="AJ202" s="281"/>
      <c r="AK202" s="281"/>
      <c r="AL202" s="281"/>
      <c r="AM202" s="281"/>
      <c r="AN202" s="288"/>
      <c r="AO202" s="281"/>
      <c r="AP202" s="281"/>
      <c r="AQ202" s="281"/>
      <c r="AR202" s="281"/>
      <c r="AS202" s="281"/>
      <c r="AT202" s="281"/>
      <c r="AU202" s="289"/>
      <c r="AV202" s="281"/>
      <c r="AW202" s="281"/>
      <c r="AX202" s="281"/>
      <c r="AY202" s="281"/>
      <c r="AZ202" s="281"/>
      <c r="BA202" s="281"/>
      <c r="BB202" s="269"/>
      <c r="BC202" s="281"/>
      <c r="BD202" s="281"/>
      <c r="BE202" s="281"/>
      <c r="BF202" s="281"/>
      <c r="BG202" s="281"/>
      <c r="BH202" s="281"/>
      <c r="BI202" s="281"/>
      <c r="BJ202" s="281"/>
      <c r="BK202" s="281"/>
      <c r="BL202" s="281"/>
      <c r="BM202" s="281"/>
      <c r="BN202" s="281">
        <v>0.5</v>
      </c>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5" customHeight="1" collapsed="1">
      <c r="A203" s="274"/>
      <c r="B203" s="142" t="s">
        <v>26</v>
      </c>
      <c r="C203" s="138" t="s">
        <v>34</v>
      </c>
      <c r="D203" s="134"/>
      <c r="E203" s="239" t="s">
        <v>37</v>
      </c>
      <c r="F203" s="239" t="s">
        <v>1996</v>
      </c>
      <c r="G203" s="240">
        <f>COUNTA(G204:G215)</f>
        <v>12</v>
      </c>
      <c r="H203" s="275" t="s">
        <v>2009</v>
      </c>
      <c r="I203" s="276" t="s">
        <v>38</v>
      </c>
      <c r="J203" s="277">
        <f>MIN(J204:J215)</f>
        <v>45630</v>
      </c>
      <c r="K203" s="277">
        <f>MIN(K204:K215)</f>
        <v>45631</v>
      </c>
      <c r="L203" s="279">
        <f>MIN(L204:L215)</f>
        <v>45646</v>
      </c>
      <c r="M203" s="279">
        <f>MAX(M204:M215)</f>
        <v>45659</v>
      </c>
      <c r="N203" s="323">
        <f t="array" ref="N203">MAX(IF(W203:CI203&gt;0,$W$16:$CI$16))</f>
        <v>45667</v>
      </c>
      <c r="O203" s="251">
        <f>SUMPRODUCT(O204:O215,U204:U215)/SUM(U204:U215)</f>
        <v>0.25</v>
      </c>
      <c r="P203" s="251">
        <v>0</v>
      </c>
      <c r="Q203" s="247">
        <f>O203-P203</f>
        <v>0.25</v>
      </c>
      <c r="R203" s="380" t="s">
        <v>2047</v>
      </c>
      <c r="S203" s="280"/>
      <c r="T203" s="270"/>
      <c r="U203" s="270"/>
      <c r="V203" s="270"/>
      <c r="W203" s="281"/>
      <c r="X203" s="281"/>
      <c r="Y203" s="281"/>
      <c r="Z203" s="281"/>
      <c r="AA203" s="281"/>
      <c r="AB203" s="281"/>
      <c r="AC203" s="281"/>
      <c r="AD203" s="282"/>
      <c r="AE203" s="281"/>
      <c r="AF203" s="281"/>
      <c r="AG203" s="281"/>
      <c r="AH203" s="281"/>
      <c r="AI203" s="281"/>
      <c r="AJ203" s="281"/>
      <c r="AK203" s="281"/>
      <c r="AL203" s="281"/>
      <c r="AM203" s="281"/>
      <c r="AN203" s="281"/>
      <c r="AO203" s="281"/>
      <c r="AP203" s="281"/>
      <c r="AQ203" s="281"/>
      <c r="AR203" s="281"/>
      <c r="AS203" s="281"/>
      <c r="AT203" s="281"/>
      <c r="AU203" s="281"/>
      <c r="AV203" s="281"/>
      <c r="AW203" s="283"/>
      <c r="AX203" s="281"/>
      <c r="AY203" s="281"/>
      <c r="AZ203" s="281"/>
      <c r="BA203" s="283"/>
      <c r="BB203" s="269"/>
      <c r="BC203" s="326"/>
      <c r="BD203" s="281"/>
      <c r="BE203" s="281"/>
      <c r="BF203" s="281"/>
      <c r="BG203" s="281"/>
      <c r="BH203" s="281"/>
      <c r="BI203" s="281"/>
      <c r="BJ203" s="281"/>
      <c r="BK203" s="281"/>
      <c r="BL203" s="281"/>
      <c r="BM203" s="281"/>
      <c r="BN203" s="281"/>
      <c r="BO203" s="282"/>
      <c r="BP203" s="282"/>
      <c r="BQ203" s="282"/>
      <c r="BR203" s="282"/>
      <c r="BS203" s="282"/>
      <c r="BT203" s="282"/>
      <c r="BU203" s="282"/>
      <c r="BV203" s="281"/>
      <c r="BW203" s="281"/>
      <c r="BX203" s="281"/>
      <c r="BY203" s="281"/>
      <c r="BZ203" s="281"/>
      <c r="CA203" s="281"/>
      <c r="CB203" s="281" t="s">
        <v>444</v>
      </c>
      <c r="CC203" s="281"/>
      <c r="CD203" s="281"/>
      <c r="CE203" s="281"/>
      <c r="CF203" s="281"/>
      <c r="CG203" s="281"/>
      <c r="CH203" s="281"/>
      <c r="CI203" s="281"/>
    </row>
    <row r="204" spans="1:87" ht="15" hidden="1" customHeight="1" outlineLevel="1">
      <c r="A204" s="274" t="str">
        <f t="shared" ref="A204:A249" si="57">E204&amp;G204</f>
        <v>ENERGY_CERTIFICATE_EST_INPUTPROPERTY_BANK_ID</v>
      </c>
      <c r="B204" s="142" t="s">
        <v>26</v>
      </c>
      <c r="C204" s="138" t="s">
        <v>34</v>
      </c>
      <c r="D204" s="235" t="s">
        <v>40</v>
      </c>
      <c r="E204" s="236" t="s">
        <v>37</v>
      </c>
      <c r="F204" s="236"/>
      <c r="G204" s="235" t="s">
        <v>41</v>
      </c>
      <c r="H204" s="235" t="str">
        <f>VLOOKUP(A204,'2. Status Detalhe Campos'!$A$7:$G$574,7,0)</f>
        <v>4. Validação EF</v>
      </c>
      <c r="I204" s="276" t="s">
        <v>38</v>
      </c>
      <c r="J204" s="285">
        <v>45630</v>
      </c>
      <c r="K204" s="285">
        <v>45631</v>
      </c>
      <c r="L204" s="286">
        <f t="array" ref="L204">MIN(IF(W204:CI204&gt;0,$W$16:$CI$16))</f>
        <v>45646</v>
      </c>
      <c r="M204" s="287">
        <f t="array" ref="M204">MAX(IF(W204:CI204&gt;0,$W$16:$CI$16))</f>
        <v>45646</v>
      </c>
      <c r="N204" s="287"/>
      <c r="O204" s="248">
        <f>VLOOKUP(H204,Auxiliar!$B$16:$E$24,4,0)</f>
        <v>0.25</v>
      </c>
      <c r="P204" s="248">
        <f ca="1">IF(TODAY()&lt;=L204,0,MIN((TODAY()-L204)/(M204-L204+1),100%))</f>
        <v>1</v>
      </c>
      <c r="Q204" s="247">
        <f t="shared" ref="Q204:Q249" ca="1" si="58">O204-P204</f>
        <v>-0.75</v>
      </c>
      <c r="R204" s="381"/>
      <c r="S204" s="280"/>
      <c r="T204" s="270">
        <v>0.6</v>
      </c>
      <c r="U204" s="270">
        <f t="shared" ref="U204:U249" si="59">ROUND(T204/8,1)</f>
        <v>0.1</v>
      </c>
      <c r="V204" s="270">
        <f t="shared" ref="V204:V215" si="60">SUM(W204:CI204)-U204</f>
        <v>0</v>
      </c>
      <c r="W204" s="281"/>
      <c r="X204" s="281"/>
      <c r="Y204" s="281"/>
      <c r="Z204" s="281"/>
      <c r="AA204" s="281"/>
      <c r="AB204" s="281"/>
      <c r="AC204" s="281"/>
      <c r="AD204" s="282"/>
      <c r="AE204" s="281"/>
      <c r="AF204" s="281"/>
      <c r="AG204" s="281"/>
      <c r="AH204" s="281"/>
      <c r="AI204" s="281"/>
      <c r="AJ204" s="281"/>
      <c r="AK204" s="281"/>
      <c r="AL204" s="281"/>
      <c r="AM204" s="281"/>
      <c r="AN204" s="281"/>
      <c r="AO204" s="281"/>
      <c r="AP204" s="281"/>
      <c r="AQ204" s="281"/>
      <c r="AR204" s="281"/>
      <c r="AS204" s="281"/>
      <c r="AT204" s="281"/>
      <c r="AU204" s="281"/>
      <c r="AV204" s="281"/>
      <c r="AW204" s="283"/>
      <c r="AX204" s="281"/>
      <c r="AY204" s="281"/>
      <c r="AZ204" s="281"/>
      <c r="BA204" s="269"/>
      <c r="BB204" s="281"/>
      <c r="BC204" s="281"/>
      <c r="BD204" s="281"/>
      <c r="BE204" s="281"/>
      <c r="BF204" s="281"/>
      <c r="BG204" s="281"/>
      <c r="BH204" s="281"/>
      <c r="BI204" s="281"/>
      <c r="BJ204" s="281"/>
      <c r="BK204" s="281"/>
      <c r="BL204" s="281"/>
      <c r="BM204" s="281">
        <v>0.1</v>
      </c>
      <c r="BN204" s="281"/>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hidden="1" customHeight="1" outlineLevel="1">
      <c r="A205" s="274" t="str">
        <f t="shared" si="57"/>
        <v>ENERGY_CERTIFICATE_EST_INPUTENCRYPTED_KEY</v>
      </c>
      <c r="B205" s="142" t="s">
        <v>26</v>
      </c>
      <c r="C205" s="138" t="s">
        <v>34</v>
      </c>
      <c r="D205" s="235" t="s">
        <v>40</v>
      </c>
      <c r="E205" s="236" t="s">
        <v>37</v>
      </c>
      <c r="F205" s="236"/>
      <c r="G205" s="235" t="s">
        <v>42</v>
      </c>
      <c r="H205" s="235" t="str">
        <f>VLOOKUP(A205,'2. Status Detalhe Campos'!$A$7:$G$574,7,0)</f>
        <v>4. Validação EF</v>
      </c>
      <c r="I205" s="276" t="s">
        <v>38</v>
      </c>
      <c r="J205" s="285">
        <v>45630</v>
      </c>
      <c r="K205" s="285">
        <v>45631</v>
      </c>
      <c r="L205" s="286">
        <f t="array" ref="L205">MIN(IF(W205:CI205&gt;0,$W$16:$CI$16))</f>
        <v>45646</v>
      </c>
      <c r="M205" s="287">
        <f t="array" ref="M205">MAX(IF(W205:CI205&gt;0,$W$16:$CI$16))</f>
        <v>45646</v>
      </c>
      <c r="N205" s="287"/>
      <c r="O205" s="248">
        <f>VLOOKUP(H205,Auxiliar!$B$16:$E$24,4,0)</f>
        <v>0.25</v>
      </c>
      <c r="P205" s="248">
        <f t="shared" ref="P205:P249" ca="1" si="61">IF(TODAY()&lt;=L205,0,MIN((TODAY()-L205)/(M205-L205+1),100%))</f>
        <v>1</v>
      </c>
      <c r="Q205" s="247">
        <f t="shared" ca="1" si="58"/>
        <v>-0.75</v>
      </c>
      <c r="R205" s="381"/>
      <c r="S205" s="280"/>
      <c r="T205" s="270">
        <v>0.6</v>
      </c>
      <c r="U205" s="270">
        <f t="shared" si="59"/>
        <v>0.1</v>
      </c>
      <c r="V205" s="270">
        <f t="shared" si="60"/>
        <v>0</v>
      </c>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69"/>
      <c r="BB205" s="281"/>
      <c r="BC205" s="281"/>
      <c r="BD205" s="281"/>
      <c r="BE205" s="281"/>
      <c r="BF205" s="281"/>
      <c r="BG205" s="281"/>
      <c r="BH205" s="281"/>
      <c r="BI205" s="281"/>
      <c r="BJ205" s="281"/>
      <c r="BK205" s="281"/>
      <c r="BL205" s="281"/>
      <c r="BM205" s="281">
        <v>0.1</v>
      </c>
      <c r="BN205" s="281"/>
      <c r="BO205" s="282"/>
      <c r="BP205" s="282"/>
      <c r="BQ205" s="282"/>
      <c r="BR205" s="282"/>
      <c r="BS205" s="282"/>
      <c r="BT205" s="282"/>
      <c r="BU205" s="282"/>
      <c r="BV205" s="281"/>
      <c r="BW205" s="281"/>
      <c r="BX205" s="281"/>
      <c r="BY205" s="281"/>
      <c r="BZ205" s="281"/>
      <c r="CA205" s="281"/>
      <c r="CB205" s="281"/>
      <c r="CC205" s="281"/>
      <c r="CD205" s="281"/>
      <c r="CE205" s="281"/>
      <c r="CF205" s="281"/>
      <c r="CG205" s="281"/>
      <c r="CH205" s="281"/>
      <c r="CI205" s="281"/>
    </row>
    <row r="206" spans="1:87" ht="15" hidden="1" customHeight="1" outlineLevel="1">
      <c r="A206" s="274" t="str">
        <f t="shared" si="57"/>
        <v>ENERGY_CERTIFICATE_EST_INPUTPROPERTY_BRANCH_CODE</v>
      </c>
      <c r="B206" s="142" t="s">
        <v>26</v>
      </c>
      <c r="C206" s="138" t="s">
        <v>34</v>
      </c>
      <c r="D206" s="235" t="s">
        <v>40</v>
      </c>
      <c r="E206" s="236" t="s">
        <v>37</v>
      </c>
      <c r="F206" s="236"/>
      <c r="G206" s="235" t="s">
        <v>43</v>
      </c>
      <c r="H206" s="235" t="str">
        <f>VLOOKUP(A206,'2. Status Detalhe Campos'!$A$7:$G$574,7,0)</f>
        <v>4. Validação EF</v>
      </c>
      <c r="I206" s="276" t="s">
        <v>38</v>
      </c>
      <c r="J206" s="285">
        <v>45630</v>
      </c>
      <c r="K206" s="285">
        <v>45631</v>
      </c>
      <c r="L206" s="286">
        <f t="array" ref="L206">MIN(IF(W206:CI206&gt;0,$W$16:$CI$16))</f>
        <v>45646</v>
      </c>
      <c r="M206" s="287">
        <f t="array" ref="M206">MAX(IF(W206:CI206&gt;0,$W$16:$CI$16))</f>
        <v>45646</v>
      </c>
      <c r="N206" s="287"/>
      <c r="O206" s="248">
        <f>VLOOKUP(H206,Auxiliar!$B$16:$E$24,4,0)</f>
        <v>0.25</v>
      </c>
      <c r="P206" s="248">
        <f t="shared" ca="1" si="61"/>
        <v>1</v>
      </c>
      <c r="Q206" s="247">
        <f t="shared" ca="1" si="58"/>
        <v>-0.75</v>
      </c>
      <c r="R206" s="381"/>
      <c r="S206" s="280"/>
      <c r="T206" s="270">
        <v>0.6</v>
      </c>
      <c r="U206" s="270">
        <f t="shared" si="59"/>
        <v>0.1</v>
      </c>
      <c r="V206" s="270">
        <f t="shared" si="60"/>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c r="A207" s="274" t="str">
        <f t="shared" si="57"/>
        <v>ENERGY_CERTIFICATE_EST_INPUTPROPERTY_CONTRACT_ID</v>
      </c>
      <c r="B207" s="142" t="s">
        <v>26</v>
      </c>
      <c r="C207" s="138" t="s">
        <v>34</v>
      </c>
      <c r="D207" s="235" t="s">
        <v>40</v>
      </c>
      <c r="E207" s="236" t="s">
        <v>37</v>
      </c>
      <c r="F207" s="236"/>
      <c r="G207" s="235" t="s">
        <v>44</v>
      </c>
      <c r="H207" s="235" t="str">
        <f>VLOOKUP(A207,'2. Status Detalhe Campos'!$A$7:$G$574,7,0)</f>
        <v>4. Validação EF</v>
      </c>
      <c r="I207" s="276" t="s">
        <v>38</v>
      </c>
      <c r="J207" s="285">
        <v>45630</v>
      </c>
      <c r="K207" s="285">
        <v>45631</v>
      </c>
      <c r="L207" s="286">
        <f t="array" ref="L207">MIN(IF(W207:CI207&gt;0,$W$16:$CI$16))</f>
        <v>45646</v>
      </c>
      <c r="M207" s="287">
        <f t="array" ref="M207">MAX(IF(W207:CI207&gt;0,$W$16:$CI$16))</f>
        <v>45646</v>
      </c>
      <c r="N207" s="287"/>
      <c r="O207" s="248">
        <f>VLOOKUP(H207,Auxiliar!$B$16:$E$24,4,0)</f>
        <v>0.25</v>
      </c>
      <c r="P207" s="248">
        <f t="shared" ca="1" si="61"/>
        <v>1</v>
      </c>
      <c r="Q207" s="247">
        <f t="shared" ca="1" si="58"/>
        <v>-0.75</v>
      </c>
      <c r="R207" s="381"/>
      <c r="S207" s="280"/>
      <c r="T207" s="270">
        <v>0.6</v>
      </c>
      <c r="U207" s="270">
        <f t="shared" si="59"/>
        <v>0.1</v>
      </c>
      <c r="V207" s="270">
        <f t="shared" si="60"/>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c r="A208" s="274" t="str">
        <f t="shared" si="57"/>
        <v>ENERGY_CERTIFICATE_EST_INPUTPROPERTY_REFERENCE_CODE</v>
      </c>
      <c r="B208" s="142" t="s">
        <v>26</v>
      </c>
      <c r="C208" s="138" t="s">
        <v>34</v>
      </c>
      <c r="D208" s="235" t="s">
        <v>40</v>
      </c>
      <c r="E208" s="236" t="s">
        <v>37</v>
      </c>
      <c r="F208" s="236"/>
      <c r="G208" s="235" t="s">
        <v>45</v>
      </c>
      <c r="H208" s="235" t="str">
        <f>VLOOKUP(A208,'2. Status Detalhe Campos'!$A$7:$G$574,7,0)</f>
        <v>4. Validação EF</v>
      </c>
      <c r="I208" s="276" t="s">
        <v>38</v>
      </c>
      <c r="J208" s="285">
        <v>45630</v>
      </c>
      <c r="K208" s="285">
        <v>45631</v>
      </c>
      <c r="L208" s="286">
        <f t="array" ref="L208">MIN(IF(W208:CI208&gt;0,$W$16:$CI$16))</f>
        <v>45646</v>
      </c>
      <c r="M208" s="287">
        <f t="array" ref="M208">MAX(IF(W208:CI208&gt;0,$W$16:$CI$16))</f>
        <v>45646</v>
      </c>
      <c r="N208" s="287"/>
      <c r="O208" s="248">
        <f>VLOOKUP(H208,Auxiliar!$B$16:$E$24,4,0)</f>
        <v>0.25</v>
      </c>
      <c r="P208" s="248">
        <f t="shared" ca="1" si="61"/>
        <v>1</v>
      </c>
      <c r="Q208" s="247">
        <f t="shared" ca="1" si="58"/>
        <v>-0.75</v>
      </c>
      <c r="R208" s="381"/>
      <c r="S208" s="280"/>
      <c r="T208" s="270">
        <v>0.6</v>
      </c>
      <c r="U208" s="270">
        <f t="shared" si="59"/>
        <v>0.1</v>
      </c>
      <c r="V208" s="270">
        <f t="shared" si="60"/>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c r="A209" s="274" t="str">
        <f t="shared" si="57"/>
        <v>ENERGY_CERTIFICATE_EST_INPUTDATA_EXTRACTION_DATE</v>
      </c>
      <c r="B209" s="142" t="s">
        <v>26</v>
      </c>
      <c r="C209" s="138" t="s">
        <v>34</v>
      </c>
      <c r="D209" s="235" t="s">
        <v>40</v>
      </c>
      <c r="E209" s="236" t="s">
        <v>37</v>
      </c>
      <c r="F209" s="236"/>
      <c r="G209" s="235" t="s">
        <v>46</v>
      </c>
      <c r="H209" s="235" t="str">
        <f>VLOOKUP(A209,'2. Status Detalhe Campos'!$A$7:$G$574,7,0)</f>
        <v>4. Validação EF</v>
      </c>
      <c r="I209" s="276" t="s">
        <v>38</v>
      </c>
      <c r="J209" s="285">
        <v>45630</v>
      </c>
      <c r="K209" s="285">
        <v>45631</v>
      </c>
      <c r="L209" s="286">
        <f t="array" ref="L209">MIN(IF(W209:CI209&gt;0,$W$16:$CI$16))</f>
        <v>45646</v>
      </c>
      <c r="M209" s="287">
        <f t="array" ref="M209">MAX(IF(W209:CI209&gt;0,$W$16:$CI$16))</f>
        <v>45646</v>
      </c>
      <c r="N209" s="287"/>
      <c r="O209" s="248">
        <f>VLOOKUP(H209,Auxiliar!$B$16:$E$24,4,0)</f>
        <v>0.25</v>
      </c>
      <c r="P209" s="248">
        <f t="shared" ca="1" si="61"/>
        <v>1</v>
      </c>
      <c r="Q209" s="247">
        <f t="shared" ca="1" si="58"/>
        <v>-0.75</v>
      </c>
      <c r="R209" s="381"/>
      <c r="S209" s="280"/>
      <c r="T209" s="270">
        <v>0.6</v>
      </c>
      <c r="U209" s="270">
        <f t="shared" si="59"/>
        <v>0.1</v>
      </c>
      <c r="V209" s="270">
        <f t="shared" si="60"/>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c r="A210" s="274" t="str">
        <f t="shared" si="57"/>
        <v>ENERGY_CERTIFICATE_EST_INPUTEPC</v>
      </c>
      <c r="B210" s="142" t="s">
        <v>26</v>
      </c>
      <c r="C210" s="138" t="s">
        <v>34</v>
      </c>
      <c r="D210" s="235" t="s">
        <v>40</v>
      </c>
      <c r="E210" s="236" t="s">
        <v>37</v>
      </c>
      <c r="F210" s="236"/>
      <c r="G210" s="235" t="s">
        <v>47</v>
      </c>
      <c r="H210" s="235" t="str">
        <f>VLOOKUP(A210,'2. Status Detalhe Campos'!$A$7:$G$574,7,0)</f>
        <v>4. Validação EF</v>
      </c>
      <c r="I210" s="276" t="s">
        <v>38</v>
      </c>
      <c r="J210" s="285">
        <v>45630</v>
      </c>
      <c r="K210" s="285">
        <v>45631</v>
      </c>
      <c r="L210" s="286">
        <f t="array" ref="L210">MIN(IF(W210:CI210&gt;0,$W$16:$CI$16))</f>
        <v>45646</v>
      </c>
      <c r="M210" s="287">
        <f t="array" ref="M210">MAX(IF(W210:CI210&gt;0,$W$16:$CI$16))</f>
        <v>45646</v>
      </c>
      <c r="N210" s="287"/>
      <c r="O210" s="248">
        <f>VLOOKUP(H210,Auxiliar!$B$16:$E$24,4,0)</f>
        <v>0.25</v>
      </c>
      <c r="P210" s="248">
        <f t="shared" ca="1" si="61"/>
        <v>1</v>
      </c>
      <c r="Q210" s="247">
        <f t="shared" ca="1" si="58"/>
        <v>-0.75</v>
      </c>
      <c r="R210" s="381"/>
      <c r="S210" s="280"/>
      <c r="T210" s="270">
        <v>0.6</v>
      </c>
      <c r="U210" s="270">
        <f t="shared" si="59"/>
        <v>0.1</v>
      </c>
      <c r="V210" s="270">
        <f t="shared" si="60"/>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v>0.1</v>
      </c>
      <c r="BN210" s="281"/>
      <c r="BO210" s="282"/>
      <c r="BP210" s="282"/>
      <c r="BQ210" s="282"/>
      <c r="BR210" s="282"/>
      <c r="BS210" s="282"/>
      <c r="BT210" s="282"/>
      <c r="BU210" s="282"/>
      <c r="BV210" s="281"/>
      <c r="BW210" s="281"/>
      <c r="BX210" s="281"/>
      <c r="BY210" s="281"/>
      <c r="BZ210" s="281"/>
      <c r="CA210" s="281"/>
      <c r="CB210" s="281"/>
      <c r="CC210" s="281"/>
      <c r="CD210" s="281"/>
      <c r="CE210" s="281"/>
      <c r="CF210" s="281"/>
      <c r="CG210" s="281"/>
      <c r="CH210" s="281"/>
      <c r="CI210" s="281"/>
    </row>
    <row r="211" spans="1:87" ht="15" hidden="1" customHeight="1" outlineLevel="1">
      <c r="A211" s="274" t="str">
        <f t="shared" si="57"/>
        <v>ENERGY_CERTIFICATE_EST_INPUTDATA_PROVIDER</v>
      </c>
      <c r="B211" s="142" t="s">
        <v>26</v>
      </c>
      <c r="C211" s="138" t="s">
        <v>34</v>
      </c>
      <c r="D211" s="235" t="s">
        <v>40</v>
      </c>
      <c r="E211" s="236" t="s">
        <v>37</v>
      </c>
      <c r="F211" s="236"/>
      <c r="G211" s="235" t="s">
        <v>48</v>
      </c>
      <c r="H211" s="235" t="str">
        <f>VLOOKUP(A211,'2. Status Detalhe Campos'!$A$7:$G$574,7,0)</f>
        <v>4. Validação EF</v>
      </c>
      <c r="I211" s="276" t="s">
        <v>38</v>
      </c>
      <c r="J211" s="285">
        <v>45630</v>
      </c>
      <c r="K211" s="285">
        <v>45631</v>
      </c>
      <c r="L211" s="286">
        <f t="array" ref="L211">MIN(IF(W211:CI211&gt;0,$W$16:$CI$16))</f>
        <v>45646</v>
      </c>
      <c r="M211" s="287">
        <f t="array" ref="M211">MAX(IF(W211:CI211&gt;0,$W$16:$CI$16))</f>
        <v>45646</v>
      </c>
      <c r="N211" s="287"/>
      <c r="O211" s="248">
        <f>VLOOKUP(H211,Auxiliar!$B$16:$E$24,4,0)</f>
        <v>0.25</v>
      </c>
      <c r="P211" s="248">
        <f t="shared" ca="1" si="61"/>
        <v>1</v>
      </c>
      <c r="Q211" s="247">
        <f t="shared" ca="1" si="58"/>
        <v>-0.75</v>
      </c>
      <c r="R211" s="381"/>
      <c r="S211" s="280"/>
      <c r="T211" s="270">
        <v>0.6</v>
      </c>
      <c r="U211" s="270">
        <f t="shared" si="59"/>
        <v>0.1</v>
      </c>
      <c r="V211" s="270">
        <f t="shared" si="60"/>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v>0.1</v>
      </c>
      <c r="BN211" s="281"/>
      <c r="BO211" s="282"/>
      <c r="BP211" s="282"/>
      <c r="BQ211" s="282"/>
      <c r="BR211" s="282"/>
      <c r="BS211" s="282"/>
      <c r="BT211" s="282"/>
      <c r="BU211" s="282"/>
      <c r="BV211" s="281"/>
      <c r="BW211" s="281"/>
      <c r="BX211" s="281"/>
      <c r="BY211" s="281"/>
      <c r="BZ211" s="281"/>
      <c r="CA211" s="281"/>
      <c r="CB211" s="281"/>
      <c r="CC211" s="281"/>
      <c r="CD211" s="281"/>
      <c r="CE211" s="281"/>
      <c r="CF211" s="281"/>
      <c r="CG211" s="281"/>
      <c r="CH211" s="281"/>
      <c r="CI211" s="281"/>
    </row>
    <row r="212" spans="1:87" ht="15" hidden="1" customHeight="1" outlineLevel="1">
      <c r="A212" s="274" t="str">
        <f t="shared" si="57"/>
        <v>ENERGY_CERTIFICATE_EST_INPUTACTUAL_VALUE_IND</v>
      </c>
      <c r="B212" s="142" t="s">
        <v>26</v>
      </c>
      <c r="C212" s="138" t="s">
        <v>34</v>
      </c>
      <c r="D212" s="235" t="s">
        <v>40</v>
      </c>
      <c r="E212" s="236" t="s">
        <v>37</v>
      </c>
      <c r="F212" s="236"/>
      <c r="G212" s="235" t="s">
        <v>49</v>
      </c>
      <c r="H212" s="235" t="str">
        <f>VLOOKUP(A212,'2. Status Detalhe Campos'!$A$7:$G$574,7,0)</f>
        <v>4. Validação EF</v>
      </c>
      <c r="I212" s="276" t="s">
        <v>38</v>
      </c>
      <c r="J212" s="285">
        <v>45630</v>
      </c>
      <c r="K212" s="285">
        <v>45631</v>
      </c>
      <c r="L212" s="286">
        <f t="array" ref="L212">MIN(IF(W212:CI212&gt;0,$W$16:$CI$16))</f>
        <v>45646</v>
      </c>
      <c r="M212" s="287">
        <f t="array" ref="M212">MAX(IF(W212:CI212&gt;0,$W$16:$CI$16))</f>
        <v>45646</v>
      </c>
      <c r="N212" s="287"/>
      <c r="O212" s="248">
        <f>VLOOKUP(H212,Auxiliar!$B$16:$E$24,4,0)</f>
        <v>0.25</v>
      </c>
      <c r="P212" s="248">
        <f t="shared" ca="1" si="61"/>
        <v>1</v>
      </c>
      <c r="Q212" s="247">
        <f t="shared" ca="1" si="58"/>
        <v>-0.75</v>
      </c>
      <c r="R212" s="381"/>
      <c r="S212" s="280"/>
      <c r="T212" s="270">
        <v>0.6</v>
      </c>
      <c r="U212" s="270">
        <f t="shared" si="59"/>
        <v>0.1</v>
      </c>
      <c r="V212" s="270">
        <f t="shared" si="60"/>
        <v>0</v>
      </c>
      <c r="W212" s="281"/>
      <c r="X212" s="281"/>
      <c r="Y212" s="281"/>
      <c r="Z212" s="281"/>
      <c r="AA212" s="281"/>
      <c r="AB212" s="281"/>
      <c r="AC212" s="281"/>
      <c r="AD212" s="282"/>
      <c r="AE212" s="281"/>
      <c r="AF212" s="281"/>
      <c r="AG212" s="281"/>
      <c r="AH212" s="281"/>
      <c r="AI212" s="281"/>
      <c r="AJ212" s="281"/>
      <c r="AK212" s="281"/>
      <c r="AL212" s="281"/>
      <c r="AM212" s="281"/>
      <c r="AN212" s="281"/>
      <c r="AO212" s="281"/>
      <c r="AP212" s="281"/>
      <c r="AQ212" s="281"/>
      <c r="AR212" s="281"/>
      <c r="AS212" s="281"/>
      <c r="AT212" s="281"/>
      <c r="AU212" s="281"/>
      <c r="AV212" s="281"/>
      <c r="AW212" s="283"/>
      <c r="AX212" s="281"/>
      <c r="AY212" s="281"/>
      <c r="AZ212" s="281"/>
      <c r="BA212" s="269"/>
      <c r="BB212" s="281"/>
      <c r="BC212" s="281"/>
      <c r="BD212" s="281"/>
      <c r="BE212" s="281"/>
      <c r="BF212" s="281"/>
      <c r="BG212" s="281"/>
      <c r="BH212" s="281"/>
      <c r="BI212" s="281"/>
      <c r="BJ212" s="281"/>
      <c r="BK212" s="281"/>
      <c r="BL212" s="281"/>
      <c r="BM212" s="281">
        <v>0.1</v>
      </c>
      <c r="BN212" s="281"/>
      <c r="BO212" s="282"/>
      <c r="BP212" s="282"/>
      <c r="BQ212" s="282"/>
      <c r="BR212" s="282"/>
      <c r="BS212" s="282"/>
      <c r="BT212" s="282"/>
      <c r="BU212" s="282"/>
      <c r="BV212" s="281"/>
      <c r="BW212" s="281"/>
      <c r="BX212" s="281"/>
      <c r="BY212" s="281"/>
      <c r="BZ212" s="281"/>
      <c r="CA212" s="281"/>
      <c r="CB212" s="281"/>
      <c r="CC212" s="281"/>
      <c r="CD212" s="281"/>
      <c r="CE212" s="281"/>
      <c r="CF212" s="281"/>
      <c r="CG212" s="281"/>
      <c r="CH212" s="281"/>
      <c r="CI212" s="281"/>
    </row>
    <row r="213" spans="1:87" ht="15" hidden="1" customHeight="1" outlineLevel="1">
      <c r="A213" s="274" t="str">
        <f t="shared" si="57"/>
        <v>ENERGY_CERTIFICATE_EST_INPUTQUALITY_SCORE</v>
      </c>
      <c r="B213" s="142" t="s">
        <v>26</v>
      </c>
      <c r="C213" s="138" t="s">
        <v>34</v>
      </c>
      <c r="D213" s="235" t="s">
        <v>40</v>
      </c>
      <c r="E213" s="236" t="s">
        <v>37</v>
      </c>
      <c r="F213" s="236"/>
      <c r="G213" s="235" t="s">
        <v>50</v>
      </c>
      <c r="H213" s="235" t="str">
        <f>VLOOKUP(A213,'2. Status Detalhe Campos'!$A$7:$G$574,7,0)</f>
        <v>4. Validação EF</v>
      </c>
      <c r="I213" s="276" t="s">
        <v>38</v>
      </c>
      <c r="J213" s="285">
        <v>45630</v>
      </c>
      <c r="K213" s="285">
        <v>45631</v>
      </c>
      <c r="L213" s="286">
        <f t="array" ref="L213">MIN(IF(W213:CI213&gt;0,$W$16:$CI$16))</f>
        <v>45646</v>
      </c>
      <c r="M213" s="287">
        <f t="array" ref="M213">MAX(IF(W213:CI213&gt;0,$W$16:$CI$16))</f>
        <v>45646</v>
      </c>
      <c r="N213" s="287"/>
      <c r="O213" s="248">
        <f>VLOOKUP(H213,Auxiliar!$B$16:$E$24,4,0)</f>
        <v>0.25</v>
      </c>
      <c r="P213" s="248">
        <f t="shared" ca="1" si="61"/>
        <v>1</v>
      </c>
      <c r="Q213" s="247">
        <f t="shared" ca="1" si="58"/>
        <v>-0.75</v>
      </c>
      <c r="R213" s="381"/>
      <c r="S213" s="280"/>
      <c r="T213" s="270">
        <v>0.6</v>
      </c>
      <c r="U213" s="270">
        <f t="shared" si="59"/>
        <v>0.1</v>
      </c>
      <c r="V213" s="270">
        <f t="shared" si="60"/>
        <v>0</v>
      </c>
      <c r="W213" s="281"/>
      <c r="X213" s="281"/>
      <c r="Y213" s="281"/>
      <c r="Z213" s="281"/>
      <c r="AA213" s="281"/>
      <c r="AB213" s="281"/>
      <c r="AC213" s="281"/>
      <c r="AD213" s="282"/>
      <c r="AE213" s="281"/>
      <c r="AF213" s="281"/>
      <c r="AG213" s="281"/>
      <c r="AH213" s="281"/>
      <c r="AI213" s="281"/>
      <c r="AJ213" s="281"/>
      <c r="AK213" s="281"/>
      <c r="AL213" s="281"/>
      <c r="AM213" s="281"/>
      <c r="AN213" s="281"/>
      <c r="AO213" s="281"/>
      <c r="AP213" s="281"/>
      <c r="AQ213" s="281"/>
      <c r="AR213" s="281"/>
      <c r="AS213" s="281"/>
      <c r="AT213" s="281"/>
      <c r="AU213" s="281"/>
      <c r="AV213" s="281"/>
      <c r="AW213" s="283"/>
      <c r="AX213" s="281"/>
      <c r="AY213" s="281"/>
      <c r="AZ213" s="281"/>
      <c r="BA213" s="269"/>
      <c r="BB213" s="281"/>
      <c r="BC213" s="281"/>
      <c r="BD213" s="281"/>
      <c r="BE213" s="281"/>
      <c r="BF213" s="281"/>
      <c r="BG213" s="281"/>
      <c r="BH213" s="281"/>
      <c r="BI213" s="281"/>
      <c r="BJ213" s="281"/>
      <c r="BK213" s="281"/>
      <c r="BL213" s="281"/>
      <c r="BM213" s="281">
        <v>0.1</v>
      </c>
      <c r="BN213" s="281"/>
      <c r="BO213" s="282"/>
      <c r="BP213" s="282"/>
      <c r="BQ213" s="282"/>
      <c r="BR213" s="282"/>
      <c r="BS213" s="282"/>
      <c r="BT213" s="282"/>
      <c r="BU213" s="282"/>
      <c r="BV213" s="281"/>
      <c r="BW213" s="281"/>
      <c r="BX213" s="281"/>
      <c r="BY213" s="281"/>
      <c r="BZ213" s="281"/>
      <c r="CA213" s="281"/>
      <c r="CB213" s="281"/>
      <c r="CC213" s="281"/>
      <c r="CD213" s="281"/>
      <c r="CE213" s="281"/>
      <c r="CF213" s="281"/>
      <c r="CG213" s="281"/>
      <c r="CH213" s="281"/>
      <c r="CI213" s="281"/>
    </row>
    <row r="214" spans="1:87" ht="15" hidden="1" customHeight="1" outlineLevel="1">
      <c r="A214" s="274" t="str">
        <f t="shared" si="57"/>
        <v>ENERGY_CERTIFICATE_EST_INPUTENERGY_CONSUMPTION_VALUE_YEAR</v>
      </c>
      <c r="B214" s="142" t="s">
        <v>26</v>
      </c>
      <c r="C214" s="138" t="s">
        <v>34</v>
      </c>
      <c r="D214" s="235" t="s">
        <v>40</v>
      </c>
      <c r="E214" s="236" t="s">
        <v>37</v>
      </c>
      <c r="F214" s="236"/>
      <c r="G214" s="235" t="s">
        <v>51</v>
      </c>
      <c r="H214" s="235" t="str">
        <f>VLOOKUP(A214,'2. Status Detalhe Campos'!$A$7:$G$574,7,0)</f>
        <v>4. Validação EF</v>
      </c>
      <c r="I214" s="276" t="s">
        <v>38</v>
      </c>
      <c r="J214" s="285">
        <v>45630</v>
      </c>
      <c r="K214" s="285">
        <v>45631</v>
      </c>
      <c r="L214" s="286">
        <f t="array" ref="L214">MIN(IF(W214:CI214&gt;0,$W$16:$CI$16))</f>
        <v>45659</v>
      </c>
      <c r="M214" s="287">
        <f t="array" ref="M214">MAX(IF(W214:CI214&gt;0,$W$16:$CI$16))</f>
        <v>45659</v>
      </c>
      <c r="N214" s="287"/>
      <c r="O214" s="248">
        <f>VLOOKUP(H214,Auxiliar!$B$16:$E$24,4,0)</f>
        <v>0.25</v>
      </c>
      <c r="P214" s="248">
        <f t="shared" ca="1" si="61"/>
        <v>1</v>
      </c>
      <c r="Q214" s="247">
        <f t="shared" ca="1" si="58"/>
        <v>-0.75</v>
      </c>
      <c r="R214" s="381"/>
      <c r="S214" s="280"/>
      <c r="T214" s="270">
        <v>0.6</v>
      </c>
      <c r="U214" s="270">
        <f t="shared" si="59"/>
        <v>0.1</v>
      </c>
      <c r="V214" s="270">
        <f t="shared" si="60"/>
        <v>0</v>
      </c>
      <c r="W214" s="281"/>
      <c r="X214" s="281"/>
      <c r="Y214" s="281"/>
      <c r="Z214" s="281"/>
      <c r="AA214" s="281"/>
      <c r="AB214" s="281"/>
      <c r="AC214" s="281"/>
      <c r="AD214" s="282"/>
      <c r="AE214" s="281"/>
      <c r="AF214" s="281"/>
      <c r="AG214" s="281"/>
      <c r="AH214" s="281"/>
      <c r="AI214" s="281"/>
      <c r="AJ214" s="281"/>
      <c r="AK214" s="281"/>
      <c r="AL214" s="281"/>
      <c r="AM214" s="281"/>
      <c r="AN214" s="281"/>
      <c r="AO214" s="281"/>
      <c r="AP214" s="281"/>
      <c r="AQ214" s="281"/>
      <c r="AR214" s="281"/>
      <c r="AS214" s="281"/>
      <c r="AT214" s="281"/>
      <c r="AU214" s="281"/>
      <c r="AV214" s="281"/>
      <c r="AW214" s="283"/>
      <c r="AX214" s="281"/>
      <c r="AY214" s="281"/>
      <c r="AZ214" s="281"/>
      <c r="BA214" s="269"/>
      <c r="BB214" s="281"/>
      <c r="BC214" s="281"/>
      <c r="BD214" s="281"/>
      <c r="BE214" s="281"/>
      <c r="BF214" s="281"/>
      <c r="BG214" s="281"/>
      <c r="BH214" s="281"/>
      <c r="BI214" s="281"/>
      <c r="BJ214" s="281"/>
      <c r="BK214" s="281"/>
      <c r="BL214" s="281"/>
      <c r="BM214" s="281"/>
      <c r="BN214" s="281"/>
      <c r="BO214" s="282"/>
      <c r="BP214" s="282"/>
      <c r="BQ214" s="282"/>
      <c r="BR214" s="282"/>
      <c r="BS214" s="282"/>
      <c r="BT214" s="282"/>
      <c r="BU214" s="282"/>
      <c r="BV214" s="281">
        <v>0.1</v>
      </c>
      <c r="BW214" s="281"/>
      <c r="BX214" s="281"/>
      <c r="BY214" s="281"/>
      <c r="BZ214" s="281"/>
      <c r="CA214" s="281"/>
      <c r="CB214" s="281"/>
      <c r="CC214" s="281"/>
      <c r="CD214" s="281"/>
      <c r="CE214" s="281"/>
      <c r="CF214" s="281"/>
      <c r="CG214" s="281"/>
      <c r="CH214" s="281"/>
      <c r="CI214" s="281"/>
    </row>
    <row r="215" spans="1:87" ht="15" hidden="1" customHeight="1" outlineLevel="1">
      <c r="A215" s="274" t="str">
        <f t="shared" si="57"/>
        <v>ENERGY_CERTIFICATE_EST_INPUTCARBON_EMISSION_VALUE_YEAR</v>
      </c>
      <c r="B215" s="142" t="s">
        <v>26</v>
      </c>
      <c r="C215" s="138" t="s">
        <v>34</v>
      </c>
      <c r="D215" s="235" t="s">
        <v>40</v>
      </c>
      <c r="E215" s="236" t="s">
        <v>37</v>
      </c>
      <c r="F215" s="236"/>
      <c r="G215" s="235" t="s">
        <v>52</v>
      </c>
      <c r="H215" s="235" t="str">
        <f>VLOOKUP(A215,'2. Status Detalhe Campos'!$A$7:$G$574,7,0)</f>
        <v>4. Validação EF</v>
      </c>
      <c r="I215" s="276" t="s">
        <v>38</v>
      </c>
      <c r="J215" s="285">
        <v>45630</v>
      </c>
      <c r="K215" s="285">
        <v>45631</v>
      </c>
      <c r="L215" s="286">
        <f t="array" ref="L215">MIN(IF(W215:CI215&gt;0,$W$16:$CI$16))</f>
        <v>45659</v>
      </c>
      <c r="M215" s="287">
        <f t="array" ref="M215">MAX(IF(W215:CI215&gt;0,$W$16:$CI$16))</f>
        <v>45659</v>
      </c>
      <c r="N215" s="287"/>
      <c r="O215" s="248">
        <f>VLOOKUP(H215,Auxiliar!$B$16:$E$24,4,0)</f>
        <v>0.25</v>
      </c>
      <c r="P215" s="248">
        <f t="shared" ca="1" si="61"/>
        <v>1</v>
      </c>
      <c r="Q215" s="247">
        <f t="shared" ca="1" si="58"/>
        <v>-0.75</v>
      </c>
      <c r="R215" s="381"/>
      <c r="S215" s="280"/>
      <c r="T215" s="270">
        <v>0.6</v>
      </c>
      <c r="U215" s="270">
        <f t="shared" si="59"/>
        <v>0.1</v>
      </c>
      <c r="V215" s="270">
        <f t="shared" si="60"/>
        <v>0</v>
      </c>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1"/>
      <c r="AU215" s="281"/>
      <c r="AV215" s="281"/>
      <c r="AW215" s="283"/>
      <c r="AX215" s="281"/>
      <c r="AY215" s="281"/>
      <c r="AZ215" s="281"/>
      <c r="BA215" s="269"/>
      <c r="BB215" s="281"/>
      <c r="BC215" s="281"/>
      <c r="BD215" s="281"/>
      <c r="BE215" s="281"/>
      <c r="BF215" s="281"/>
      <c r="BG215" s="281"/>
      <c r="BH215" s="281"/>
      <c r="BI215" s="281"/>
      <c r="BJ215" s="281"/>
      <c r="BK215" s="281"/>
      <c r="BL215" s="281"/>
      <c r="BM215" s="281"/>
      <c r="BN215" s="281"/>
      <c r="BO215" s="282"/>
      <c r="BP215" s="282"/>
      <c r="BQ215" s="282"/>
      <c r="BR215" s="282"/>
      <c r="BS215" s="282"/>
      <c r="BT215" s="282"/>
      <c r="BU215" s="282"/>
      <c r="BV215" s="281">
        <v>0.1</v>
      </c>
      <c r="BW215" s="281"/>
      <c r="BX215" s="281"/>
      <c r="BY215" s="281"/>
      <c r="BZ215" s="281"/>
      <c r="CA215" s="281"/>
      <c r="CB215" s="281"/>
      <c r="CC215" s="281"/>
      <c r="CD215" s="281"/>
      <c r="CE215" s="281"/>
      <c r="CF215" s="281"/>
      <c r="CG215" s="281"/>
      <c r="CH215" s="281"/>
      <c r="CI215" s="281"/>
    </row>
    <row r="216" spans="1:87" ht="15" customHeight="1" collapsed="1">
      <c r="A216" s="274"/>
      <c r="B216" s="142" t="s">
        <v>26</v>
      </c>
      <c r="C216" s="138" t="s">
        <v>54</v>
      </c>
      <c r="D216" s="134"/>
      <c r="E216" s="241" t="s">
        <v>94</v>
      </c>
      <c r="F216" s="239" t="s">
        <v>1972</v>
      </c>
      <c r="G216" s="255">
        <v>1</v>
      </c>
      <c r="H216" s="298" t="s">
        <v>2010</v>
      </c>
      <c r="I216" s="278">
        <v>45604</v>
      </c>
      <c r="J216" s="278">
        <v>45645</v>
      </c>
      <c r="K216" s="278">
        <v>45645</v>
      </c>
      <c r="L216" s="279"/>
      <c r="M216" s="310"/>
      <c r="N216" s="323">
        <f t="array" ref="N216">MAX(IF(W216:CI216&gt;0,$W$16:$CI$16))</f>
        <v>45667</v>
      </c>
      <c r="O216" s="316">
        <v>0</v>
      </c>
      <c r="P216" s="316">
        <v>0</v>
      </c>
      <c r="Q216" s="247">
        <f>O216-P216</f>
        <v>0</v>
      </c>
      <c r="R216" s="380" t="s">
        <v>2014</v>
      </c>
      <c r="S216" s="280"/>
      <c r="T216" s="270"/>
      <c r="U216" s="270"/>
      <c r="V216" s="270"/>
      <c r="W216" s="281"/>
      <c r="X216" s="281"/>
      <c r="Y216" s="281"/>
      <c r="Z216" s="281"/>
      <c r="AA216" s="281"/>
      <c r="AB216" s="281"/>
      <c r="AC216" s="281"/>
      <c r="AD216" s="282"/>
      <c r="AE216" s="281"/>
      <c r="AF216" s="281"/>
      <c r="AG216" s="281"/>
      <c r="AH216" s="281"/>
      <c r="AI216" s="289"/>
      <c r="AJ216" s="281"/>
      <c r="AK216" s="281"/>
      <c r="AL216" s="281"/>
      <c r="AM216" s="281"/>
      <c r="AN216" s="281"/>
      <c r="AO216" s="281"/>
      <c r="AP216" s="281"/>
      <c r="AQ216" s="281"/>
      <c r="AR216" s="281"/>
      <c r="AS216" s="281"/>
      <c r="AT216" s="281"/>
      <c r="AU216" s="281"/>
      <c r="AV216" s="281"/>
      <c r="AW216" s="281"/>
      <c r="AX216" s="281"/>
      <c r="AY216" s="281"/>
      <c r="AZ216" s="281"/>
      <c r="BA216" s="281"/>
      <c r="BB216" s="283"/>
      <c r="BC216" s="281"/>
      <c r="BD216" s="281"/>
      <c r="BE216" s="281"/>
      <c r="BF216" s="281"/>
      <c r="BG216" s="281"/>
      <c r="BH216" s="281"/>
      <c r="BI216" s="281"/>
      <c r="BJ216" s="281"/>
      <c r="BK216" s="281"/>
      <c r="BL216" s="269"/>
      <c r="BM216" s="281"/>
      <c r="BN216" s="281"/>
      <c r="BO216" s="282"/>
      <c r="BP216" s="282"/>
      <c r="BQ216" s="282"/>
      <c r="BR216" s="282"/>
      <c r="BS216" s="282"/>
      <c r="BT216" s="282"/>
      <c r="BU216" s="282"/>
      <c r="BV216" s="281"/>
      <c r="BW216" s="281"/>
      <c r="BX216" s="281"/>
      <c r="BY216" s="281"/>
      <c r="BZ216" s="281"/>
      <c r="CA216" s="281"/>
      <c r="CB216" s="281" t="s">
        <v>444</v>
      </c>
      <c r="CC216" s="281"/>
      <c r="CD216" s="281"/>
      <c r="CE216" s="281"/>
      <c r="CF216" s="281"/>
      <c r="CG216" s="281"/>
      <c r="CH216" s="281"/>
      <c r="CI216" s="281"/>
    </row>
    <row r="217" spans="1:87" ht="15" customHeight="1">
      <c r="A217" s="274"/>
      <c r="B217" s="142" t="s">
        <v>26</v>
      </c>
      <c r="C217" s="138" t="s">
        <v>34</v>
      </c>
      <c r="D217" s="134"/>
      <c r="E217" s="241" t="s">
        <v>2007</v>
      </c>
      <c r="F217" s="239" t="s">
        <v>2049</v>
      </c>
      <c r="G217" s="255" t="s">
        <v>1951</v>
      </c>
      <c r="H217" s="275" t="s">
        <v>2009</v>
      </c>
      <c r="I217" s="278">
        <v>45604</v>
      </c>
      <c r="J217" s="278">
        <v>45630</v>
      </c>
      <c r="K217" s="278">
        <v>45631</v>
      </c>
      <c r="L217" s="279">
        <f t="array" ref="L217">MIN(IF(W217:CI217&gt;0,$W$16:$CI$16))</f>
        <v>45665</v>
      </c>
      <c r="M217" s="310">
        <f t="array" ref="M217">MAX(IF(W217:CI217&gt;0,$W$16:$CI$16))</f>
        <v>45667</v>
      </c>
      <c r="N217" s="323">
        <f t="array" ref="N217">MAX(IF(W217:CI217&gt;0,$W$16:$CI$16))</f>
        <v>45667</v>
      </c>
      <c r="O217" s="316">
        <v>0</v>
      </c>
      <c r="P217" s="316">
        <v>0</v>
      </c>
      <c r="Q217" s="247">
        <f>O217-P217</f>
        <v>0</v>
      </c>
      <c r="R217" s="380" t="s">
        <v>2006</v>
      </c>
      <c r="S217" s="280"/>
      <c r="T217" s="270"/>
      <c r="U217" s="270"/>
      <c r="V217" s="270"/>
      <c r="W217" s="281"/>
      <c r="X217" s="281"/>
      <c r="Y217" s="281"/>
      <c r="Z217" s="281"/>
      <c r="AA217" s="281"/>
      <c r="AB217" s="281"/>
      <c r="AC217" s="281"/>
      <c r="AD217" s="282"/>
      <c r="AE217" s="281"/>
      <c r="AF217" s="281"/>
      <c r="AG217" s="281"/>
      <c r="AH217" s="281"/>
      <c r="AI217" s="289"/>
      <c r="AJ217" s="281"/>
      <c r="AK217" s="281"/>
      <c r="AL217" s="281"/>
      <c r="AM217" s="281"/>
      <c r="AN217" s="281"/>
      <c r="AO217" s="281"/>
      <c r="AP217" s="281"/>
      <c r="AQ217" s="281"/>
      <c r="AR217" s="281"/>
      <c r="AS217" s="281"/>
      <c r="AT217" s="281"/>
      <c r="AU217" s="281"/>
      <c r="AV217" s="281"/>
      <c r="AW217" s="283"/>
      <c r="AX217" s="281"/>
      <c r="AY217" s="281"/>
      <c r="AZ217" s="281"/>
      <c r="BA217" s="283"/>
      <c r="BB217" s="269"/>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c r="BW217" s="281"/>
      <c r="BX217" s="281"/>
      <c r="BY217" s="281"/>
      <c r="BZ217" s="281">
        <v>1</v>
      </c>
      <c r="CA217" s="281">
        <v>1</v>
      </c>
      <c r="CB217" s="281" t="s">
        <v>444</v>
      </c>
      <c r="CC217" s="281"/>
      <c r="CD217" s="281"/>
      <c r="CE217" s="281"/>
      <c r="CF217" s="281"/>
      <c r="CG217" s="281"/>
      <c r="CH217" s="281"/>
      <c r="CI217" s="281"/>
    </row>
    <row r="218" spans="1:87" ht="15" customHeight="1">
      <c r="A218" s="274"/>
      <c r="B218" s="142" t="s">
        <v>26</v>
      </c>
      <c r="C218" s="138" t="s">
        <v>311</v>
      </c>
      <c r="D218" s="134"/>
      <c r="E218" s="239" t="s">
        <v>312</v>
      </c>
      <c r="F218" s="239" t="s">
        <v>1993</v>
      </c>
      <c r="G218" s="331">
        <f>COUNTA(G219:G222)</f>
        <v>4</v>
      </c>
      <c r="H218" s="298" t="s">
        <v>2010</v>
      </c>
      <c r="I218" s="276" t="s">
        <v>38</v>
      </c>
      <c r="J218" s="277">
        <f>MIN(J219:J222)</f>
        <v>45631</v>
      </c>
      <c r="K218" s="277">
        <f>MIN(K219:K222)</f>
        <v>45631</v>
      </c>
      <c r="L218" s="277">
        <f>MIN(L219:L222)</f>
        <v>45663</v>
      </c>
      <c r="M218" s="278">
        <f>MAX(M219:M222)</f>
        <v>45664</v>
      </c>
      <c r="N218" s="323">
        <f t="array" ref="N218">MAX(IF(W218:CI218&gt;0,$W$16:$CI$16))</f>
        <v>45674</v>
      </c>
      <c r="O218" s="250">
        <f>SUMPRODUCT(O219:O222,U219:U222)/SUM(U219:U222)</f>
        <v>0.25</v>
      </c>
      <c r="P218" s="250">
        <f ca="1">SUMPRODUCT(P219:P222,U219:U222)/SUM(U219:U222)</f>
        <v>1</v>
      </c>
      <c r="Q218" s="247">
        <f t="shared" ref="Q218:Q223" ca="1" si="62">O218-P218</f>
        <v>-0.75</v>
      </c>
      <c r="R218" s="380"/>
      <c r="S218" s="280"/>
      <c r="T218" s="270"/>
      <c r="U218" s="270"/>
      <c r="V218" s="270"/>
      <c r="W218" s="281"/>
      <c r="X218" s="281"/>
      <c r="Y218" s="281"/>
      <c r="Z218" s="281"/>
      <c r="AA218" s="281"/>
      <c r="AB218" s="281"/>
      <c r="AC218" s="281"/>
      <c r="AD218" s="282"/>
      <c r="AE218" s="281"/>
      <c r="AF218" s="281"/>
      <c r="AG218" s="281"/>
      <c r="AH218" s="281"/>
      <c r="AI218" s="281"/>
      <c r="AJ218" s="281"/>
      <c r="AK218" s="281"/>
      <c r="AL218" s="281"/>
      <c r="AM218" s="281"/>
      <c r="AN218" s="281"/>
      <c r="AO218" s="281"/>
      <c r="AP218" s="281"/>
      <c r="AQ218" s="281"/>
      <c r="AR218" s="281"/>
      <c r="AS218" s="281"/>
      <c r="AT218" s="283"/>
      <c r="AU218" s="281"/>
      <c r="AV218" s="281"/>
      <c r="AW218" s="281"/>
      <c r="AX218" s="281"/>
      <c r="AY218" s="281"/>
      <c r="AZ218" s="281"/>
      <c r="BA218" s="281"/>
      <c r="BB218" s="269"/>
      <c r="BC218" s="281"/>
      <c r="BD218" s="281"/>
      <c r="BE218" s="281"/>
      <c r="BF218" s="281"/>
      <c r="BG218" s="281"/>
      <c r="BH218" s="281"/>
      <c r="BI218" s="281"/>
      <c r="BJ218" s="281"/>
      <c r="BK218" s="281"/>
      <c r="BL218" s="281"/>
      <c r="BM218" s="281"/>
      <c r="BN218" s="281"/>
      <c r="BO218" s="282"/>
      <c r="BP218" s="282"/>
      <c r="BQ218" s="282"/>
      <c r="BR218" s="282"/>
      <c r="BS218" s="282"/>
      <c r="BT218" s="282"/>
      <c r="BU218" s="282"/>
      <c r="BV218" s="281"/>
      <c r="BW218" s="281"/>
      <c r="BX218" s="281"/>
      <c r="BY218" s="281"/>
      <c r="BZ218" s="281"/>
      <c r="CA218" s="281"/>
      <c r="CB218" s="281"/>
      <c r="CC218" s="281"/>
      <c r="CD218" s="281"/>
      <c r="CE218" s="281"/>
      <c r="CF218" s="281"/>
      <c r="CG218" s="281" t="s">
        <v>444</v>
      </c>
      <c r="CH218" s="281"/>
      <c r="CI218" s="281"/>
    </row>
    <row r="219" spans="1:87" ht="16.2" hidden="1" outlineLevel="1">
      <c r="A219" s="274" t="str">
        <f t="shared" ref="A219:A226" si="63">E219&amp;G219</f>
        <v>modesg_out_bens_imoveisflg_rsc_fsc_agd</v>
      </c>
      <c r="B219" s="142" t="s">
        <v>26</v>
      </c>
      <c r="C219" s="138" t="s">
        <v>311</v>
      </c>
      <c r="D219" s="235" t="s">
        <v>40</v>
      </c>
      <c r="E219" s="236" t="s">
        <v>312</v>
      </c>
      <c r="F219" s="236"/>
      <c r="G219" s="332" t="s">
        <v>283</v>
      </c>
      <c r="H219" s="235" t="str">
        <f>VLOOKUP(A219,'2. Status Detalhe Campos'!$A$7:$G$574,7,0)</f>
        <v>2.1 Em Teste</v>
      </c>
      <c r="I219" s="276" t="s">
        <v>38</v>
      </c>
      <c r="J219" s="285">
        <v>45631</v>
      </c>
      <c r="K219" s="285">
        <v>45631</v>
      </c>
      <c r="L219" s="290">
        <f t="array" ref="L219">MIN(IF(W219:CI219&gt;0,$W$16:$CI$16))</f>
        <v>45663</v>
      </c>
      <c r="M219" s="291">
        <f t="array" ref="M219">MAX(IF(W219:CI219&gt;0,$W$16:$CI$16))</f>
        <v>45663</v>
      </c>
      <c r="N219" s="291"/>
      <c r="O219" s="248">
        <f>VLOOKUP(H219,Auxiliar!$B$16:$E$24,4,0)</f>
        <v>0.25</v>
      </c>
      <c r="P219" s="248">
        <f ca="1">IF(TODAY()&lt;=L219,0,MIN((TODAY()-L219)/(M219-L219+1),100%))</f>
        <v>1</v>
      </c>
      <c r="Q219" s="247">
        <f t="shared" ca="1" si="62"/>
        <v>-0.75</v>
      </c>
      <c r="R219" s="380" t="s">
        <v>38</v>
      </c>
      <c r="S219" s="280"/>
      <c r="T219" s="270">
        <v>16.100000000000001</v>
      </c>
      <c r="U219" s="270">
        <f>ROUND(T219/8,1)</f>
        <v>2</v>
      </c>
      <c r="V219" s="270">
        <f>SUM(W219:CI219)-U219</f>
        <v>0</v>
      </c>
      <c r="W219" s="281"/>
      <c r="X219" s="281"/>
      <c r="Y219" s="281"/>
      <c r="Z219" s="281"/>
      <c r="AA219" s="281"/>
      <c r="AB219" s="281"/>
      <c r="AC219" s="281"/>
      <c r="AD219" s="282"/>
      <c r="AE219" s="281"/>
      <c r="AF219" s="281"/>
      <c r="AG219" s="281"/>
      <c r="AH219" s="281"/>
      <c r="AI219" s="281"/>
      <c r="AJ219" s="281"/>
      <c r="AK219" s="281"/>
      <c r="AL219" s="281"/>
      <c r="AM219" s="281"/>
      <c r="AN219" s="281"/>
      <c r="AO219" s="281"/>
      <c r="AP219" s="281"/>
      <c r="AQ219" s="281"/>
      <c r="AR219" s="281"/>
      <c r="AS219" s="281"/>
      <c r="AT219" s="283"/>
      <c r="AU219" s="281"/>
      <c r="AV219" s="281"/>
      <c r="AW219" s="281"/>
      <c r="AX219" s="281"/>
      <c r="AY219" s="281"/>
      <c r="AZ219" s="281"/>
      <c r="BA219" s="281"/>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v>2</v>
      </c>
      <c r="BY219" s="281"/>
      <c r="BZ219" s="281"/>
      <c r="CA219" s="281"/>
      <c r="CB219" s="281"/>
      <c r="CC219" s="281"/>
      <c r="CD219" s="281"/>
      <c r="CE219" s="281"/>
      <c r="CF219" s="281"/>
      <c r="CG219" s="281"/>
      <c r="CH219" s="281"/>
      <c r="CI219" s="281"/>
    </row>
    <row r="220" spans="1:87" ht="16.2" hidden="1" outlineLevel="1">
      <c r="A220" s="274" t="str">
        <f t="shared" si="63"/>
        <v>modesg_out_bens_imoveisflg_rsc_fsc_crnc</v>
      </c>
      <c r="B220" s="142" t="s">
        <v>26</v>
      </c>
      <c r="C220" s="138" t="s">
        <v>311</v>
      </c>
      <c r="D220" s="235" t="s">
        <v>40</v>
      </c>
      <c r="E220" s="236" t="s">
        <v>312</v>
      </c>
      <c r="F220" s="236"/>
      <c r="G220" s="332" t="s">
        <v>284</v>
      </c>
      <c r="H220" s="235" t="str">
        <f>VLOOKUP(A220,'2. Status Detalhe Campos'!$A$7:$G$574,7,0)</f>
        <v>2.1 Em Teste</v>
      </c>
      <c r="I220" s="276" t="s">
        <v>38</v>
      </c>
      <c r="J220" s="285">
        <v>45631</v>
      </c>
      <c r="K220" s="285">
        <v>45631</v>
      </c>
      <c r="L220" s="290">
        <f t="array" ref="L220">MIN(IF(W220:CI220&gt;0,$W$16:$CI$16))</f>
        <v>45663</v>
      </c>
      <c r="M220" s="291">
        <f t="array" ref="M220">MAX(IF(W220:CI220&gt;0,$W$16:$CI$16))</f>
        <v>45664</v>
      </c>
      <c r="N220" s="291"/>
      <c r="O220" s="248">
        <f>VLOOKUP(H220,Auxiliar!$B$16:$E$24,4,0)</f>
        <v>0.25</v>
      </c>
      <c r="P220" s="248">
        <f ca="1">IF(TODAY()&lt;=L220,0,MIN((TODAY()-L220)/(M220-L220+1),100%))</f>
        <v>1</v>
      </c>
      <c r="Q220" s="247">
        <f t="shared" ca="1" si="62"/>
        <v>-0.75</v>
      </c>
      <c r="R220" s="380" t="s">
        <v>38</v>
      </c>
      <c r="S220" s="280"/>
      <c r="T220" s="270">
        <v>16.100000000000001</v>
      </c>
      <c r="U220" s="270">
        <f>ROUND(T220/8,1)</f>
        <v>2</v>
      </c>
      <c r="V220" s="270">
        <f>SUM(W220:CI220)-U220</f>
        <v>0</v>
      </c>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3"/>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v>1</v>
      </c>
      <c r="BY220" s="281">
        <v>1</v>
      </c>
      <c r="BZ220" s="281"/>
      <c r="CA220" s="281"/>
      <c r="CB220" s="281"/>
      <c r="CC220" s="281"/>
      <c r="CD220" s="281"/>
      <c r="CE220" s="281"/>
      <c r="CF220" s="281"/>
      <c r="CG220" s="281"/>
      <c r="CH220" s="281"/>
      <c r="CI220" s="281"/>
    </row>
    <row r="221" spans="1:87" ht="16.2" hidden="1" outlineLevel="1">
      <c r="A221" s="274" t="str">
        <f t="shared" si="63"/>
        <v>modesg_out_bens_imoveisorigem_flg_rsc_fsc_agd</v>
      </c>
      <c r="B221" s="142" t="s">
        <v>26</v>
      </c>
      <c r="C221" s="138" t="s">
        <v>311</v>
      </c>
      <c r="D221" s="235" t="s">
        <v>40</v>
      </c>
      <c r="E221" s="236" t="s">
        <v>312</v>
      </c>
      <c r="F221" s="236"/>
      <c r="G221" s="332" t="s">
        <v>318</v>
      </c>
      <c r="H221" s="235" t="str">
        <f>VLOOKUP(A221,'2. Status Detalhe Campos'!$A$7:$G$574,7,0)</f>
        <v>2.1 Em Teste</v>
      </c>
      <c r="I221" s="276" t="s">
        <v>38</v>
      </c>
      <c r="J221" s="285">
        <v>45631</v>
      </c>
      <c r="K221" s="285">
        <v>45631</v>
      </c>
      <c r="L221" s="290">
        <f t="array" ref="L221">MIN(IF(W221:CI221&gt;0,$W$16:$CI$16))</f>
        <v>45664</v>
      </c>
      <c r="M221" s="291">
        <f t="array" ref="M221">MAX(IF(W221:CI221&gt;0,$W$16:$CI$16))</f>
        <v>45664</v>
      </c>
      <c r="N221" s="291"/>
      <c r="O221" s="248">
        <f>VLOOKUP(H221,Auxiliar!$B$16:$E$24,4,0)</f>
        <v>0.25</v>
      </c>
      <c r="P221" s="248">
        <f ca="1">IF(TODAY()&lt;=L221,0,MIN((TODAY()-L221)/(M221-L221+1),100%))</f>
        <v>1</v>
      </c>
      <c r="Q221" s="247">
        <f t="shared" ca="1" si="62"/>
        <v>-0.75</v>
      </c>
      <c r="R221" s="380" t="s">
        <v>38</v>
      </c>
      <c r="S221" s="280"/>
      <c r="T221" s="270">
        <v>4.0999999999999996</v>
      </c>
      <c r="U221" s="270">
        <f>ROUND(T221/8,1)</f>
        <v>0.5</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3"/>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c r="BY221" s="281">
        <v>0.5</v>
      </c>
      <c r="BZ221" s="281"/>
      <c r="CA221" s="281"/>
      <c r="CB221" s="281"/>
      <c r="CC221" s="281"/>
      <c r="CD221" s="281"/>
      <c r="CE221" s="281"/>
      <c r="CF221" s="281"/>
      <c r="CG221" s="281"/>
      <c r="CH221" s="281"/>
      <c r="CI221" s="281"/>
    </row>
    <row r="222" spans="1:87" ht="16.2" hidden="1" outlineLevel="1">
      <c r="A222" s="274" t="str">
        <f t="shared" si="63"/>
        <v>modesg_out_bens_imoveisorigem_flg_rsc_fsc_crnc</v>
      </c>
      <c r="B222" s="142" t="s">
        <v>26</v>
      </c>
      <c r="C222" s="138" t="s">
        <v>311</v>
      </c>
      <c r="D222" s="235" t="s">
        <v>40</v>
      </c>
      <c r="E222" s="236" t="s">
        <v>312</v>
      </c>
      <c r="F222" s="236"/>
      <c r="G222" s="332" t="s">
        <v>319</v>
      </c>
      <c r="H222" s="235" t="str">
        <f>VLOOKUP(A222,'2. Status Detalhe Campos'!$A$7:$G$574,7,0)</f>
        <v>2.1 Em Teste</v>
      </c>
      <c r="I222" s="276" t="s">
        <v>38</v>
      </c>
      <c r="J222" s="285">
        <v>45631</v>
      </c>
      <c r="K222" s="285">
        <v>45631</v>
      </c>
      <c r="L222" s="290">
        <f t="array" ref="L222">MIN(IF(W222:CI222&gt;0,$W$16:$CI$16))</f>
        <v>45664</v>
      </c>
      <c r="M222" s="291">
        <f t="array" ref="M222">MAX(IF(W222:CI222&gt;0,$W$16:$CI$16))</f>
        <v>45664</v>
      </c>
      <c r="N222" s="291"/>
      <c r="O222" s="248">
        <f>VLOOKUP(H222,Auxiliar!$B$16:$E$24,4,0)</f>
        <v>0.25</v>
      </c>
      <c r="P222" s="248">
        <f ca="1">IF(TODAY()&lt;=L222,0,MIN((TODAY()-L222)/(M222-L222+1),100%))</f>
        <v>1</v>
      </c>
      <c r="Q222" s="247">
        <f t="shared" ca="1" si="62"/>
        <v>-0.75</v>
      </c>
      <c r="R222" s="380" t="s">
        <v>38</v>
      </c>
      <c r="S222" s="280"/>
      <c r="T222" s="270">
        <v>4.0999999999999996</v>
      </c>
      <c r="U222" s="270">
        <f>ROUND(T222/8,1)</f>
        <v>0.5</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3"/>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c r="BY222" s="281">
        <v>0.5</v>
      </c>
      <c r="BZ222" s="281"/>
      <c r="CA222" s="281"/>
      <c r="CB222" s="281"/>
      <c r="CC222" s="281"/>
      <c r="CD222" s="281"/>
      <c r="CE222" s="281"/>
      <c r="CF222" s="281"/>
      <c r="CG222" s="281"/>
      <c r="CH222" s="281"/>
      <c r="CI222" s="281"/>
    </row>
    <row r="223" spans="1:87" ht="15" customHeight="1" collapsed="1">
      <c r="A223" s="274" t="str">
        <f t="shared" si="63"/>
        <v>lt002_instrument3</v>
      </c>
      <c r="B223" s="142" t="s">
        <v>26</v>
      </c>
      <c r="C223" s="138" t="s">
        <v>26</v>
      </c>
      <c r="D223" s="235"/>
      <c r="E223" s="375" t="s">
        <v>380</v>
      </c>
      <c r="F223" s="241" t="s">
        <v>1995</v>
      </c>
      <c r="G223" s="255">
        <v>3</v>
      </c>
      <c r="H223" s="298" t="s">
        <v>2010</v>
      </c>
      <c r="I223" s="276" t="s">
        <v>38</v>
      </c>
      <c r="J223" s="277">
        <f>MIN(J224:J226)</f>
        <v>45631</v>
      </c>
      <c r="K223" s="277">
        <f>MIN(K224:K226)</f>
        <v>45631</v>
      </c>
      <c r="L223" s="277">
        <f>MIN(L224)</f>
        <v>45664</v>
      </c>
      <c r="M223" s="278">
        <f>MAX(M224)</f>
        <v>45664</v>
      </c>
      <c r="N223" s="323">
        <f t="array" ref="N223">MAX(IF(W223:CI223&gt;0,$W$16:$CI$16))</f>
        <v>45674</v>
      </c>
      <c r="O223" s="250">
        <f>SUMPRODUCT(O224:O226,U224:U226)/SUM(U224:U226)</f>
        <v>0.25</v>
      </c>
      <c r="P223" s="250">
        <f ca="1">SUMPRODUCT(P224:P226,U224:U226)/SUM(U224:U226)</f>
        <v>1</v>
      </c>
      <c r="Q223" s="247">
        <f t="shared" ca="1" si="62"/>
        <v>-0.75</v>
      </c>
      <c r="R223" s="380"/>
      <c r="S223" s="280"/>
      <c r="T223" s="309"/>
      <c r="U223" s="270"/>
      <c r="V223" s="270"/>
      <c r="W223" s="281"/>
      <c r="X223" s="281"/>
      <c r="Y223" s="281"/>
      <c r="Z223" s="281"/>
      <c r="AA223" s="281"/>
      <c r="AB223" s="281"/>
      <c r="AC223" s="281"/>
      <c r="AD223" s="282"/>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c r="BA223" s="281"/>
      <c r="BB223" s="269"/>
      <c r="BC223" s="281"/>
      <c r="BD223" s="281"/>
      <c r="BE223" s="281"/>
      <c r="BF223" s="281"/>
      <c r="BG223" s="281"/>
      <c r="BH223" s="281"/>
      <c r="BI223" s="281"/>
      <c r="BJ223" s="281"/>
      <c r="BK223" s="281"/>
      <c r="BL223" s="281"/>
      <c r="BM223" s="281"/>
      <c r="BN223" s="281"/>
      <c r="BO223" s="282"/>
      <c r="BP223" s="282"/>
      <c r="BQ223" s="282"/>
      <c r="BR223" s="282"/>
      <c r="BS223" s="282"/>
      <c r="BT223" s="282"/>
      <c r="BU223" s="282"/>
      <c r="BV223" s="281"/>
      <c r="BW223" s="281"/>
      <c r="BX223" s="281"/>
      <c r="BY223" s="281"/>
      <c r="BZ223" s="281"/>
      <c r="CA223" s="281"/>
      <c r="CB223" s="281"/>
      <c r="CC223" s="281"/>
      <c r="CD223" s="281"/>
      <c r="CE223" s="281"/>
      <c r="CF223" s="281"/>
      <c r="CG223" s="281" t="s">
        <v>444</v>
      </c>
      <c r="CH223" s="281"/>
      <c r="CI223" s="281"/>
    </row>
    <row r="224" spans="1:87" ht="16.2" hidden="1" outlineLevel="1">
      <c r="A224" s="274" t="str">
        <f t="shared" si="63"/>
        <v>lt002_instrumentgrss_intrst_incm</v>
      </c>
      <c r="B224" s="142" t="s">
        <v>26</v>
      </c>
      <c r="C224" s="138" t="s">
        <v>26</v>
      </c>
      <c r="D224" s="235"/>
      <c r="E224" s="238" t="s">
        <v>380</v>
      </c>
      <c r="F224" s="238"/>
      <c r="G224" s="333" t="s">
        <v>421</v>
      </c>
      <c r="H224" s="235" t="str">
        <f>VLOOKUP(A224,'2. Status Detalhe Campos'!$A$7:$G$574,7,0)</f>
        <v>2.1 Em Teste</v>
      </c>
      <c r="I224" s="276"/>
      <c r="J224" s="285">
        <v>45631</v>
      </c>
      <c r="K224" s="285">
        <v>45631</v>
      </c>
      <c r="L224" s="290">
        <f t="array" ref="L224">MIN(IF(W224:CI224&gt;0,$W$16:$CI$16))</f>
        <v>45664</v>
      </c>
      <c r="M224" s="291">
        <f t="array" ref="M224">MAX(IF(W224:CI224&gt;0,$W$16:$CI$16))</f>
        <v>45664</v>
      </c>
      <c r="N224" s="291"/>
      <c r="O224" s="248">
        <f>VLOOKUP(H224,Auxiliar!$B$16:$E$24,4,0)</f>
        <v>0.25</v>
      </c>
      <c r="P224" s="248">
        <f ca="1">IF(TODAY()&lt;=L224,0,MIN((TODAY()-L224)/(M224-L224+1),100%))</f>
        <v>1</v>
      </c>
      <c r="Q224" s="248">
        <f ca="1">O224-P224</f>
        <v>-0.75</v>
      </c>
      <c r="R224" s="381"/>
      <c r="S224" s="280"/>
      <c r="T224" s="306">
        <v>8</v>
      </c>
      <c r="U224" s="270">
        <f>ROUND(T224/8,1)</f>
        <v>1</v>
      </c>
      <c r="V224" s="270">
        <f>SUM(W224:CI224)-U224</f>
        <v>0</v>
      </c>
      <c r="W224" s="281"/>
      <c r="X224" s="281"/>
      <c r="Y224" s="281"/>
      <c r="Z224" s="281"/>
      <c r="AA224" s="281"/>
      <c r="AB224" s="281"/>
      <c r="AC224" s="281"/>
      <c r="AD224" s="282"/>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c r="BA224" s="281"/>
      <c r="BB224" s="269"/>
      <c r="BC224" s="281"/>
      <c r="BD224" s="281"/>
      <c r="BE224" s="281"/>
      <c r="BF224" s="281"/>
      <c r="BG224" s="281"/>
      <c r="BH224" s="281"/>
      <c r="BI224" s="281"/>
      <c r="BJ224" s="281"/>
      <c r="BK224" s="281"/>
      <c r="BL224" s="281"/>
      <c r="BM224" s="281"/>
      <c r="BN224" s="281"/>
      <c r="BO224" s="282"/>
      <c r="BP224" s="282"/>
      <c r="BQ224" s="282"/>
      <c r="BR224" s="282"/>
      <c r="BS224" s="282"/>
      <c r="BT224" s="282"/>
      <c r="BU224" s="282"/>
      <c r="BV224" s="281"/>
      <c r="BW224" s="281"/>
      <c r="BX224" s="281"/>
      <c r="BY224" s="281">
        <v>1</v>
      </c>
      <c r="BZ224" s="281"/>
      <c r="CA224" s="281"/>
      <c r="CB224" s="281"/>
      <c r="CC224" s="281"/>
      <c r="CD224" s="281"/>
      <c r="CE224" s="281"/>
      <c r="CF224" s="281"/>
      <c r="CG224" s="281"/>
      <c r="CH224" s="281"/>
      <c r="CI224" s="281"/>
    </row>
    <row r="225" spans="1:87" ht="16.2" hidden="1" outlineLevel="1">
      <c r="A225" s="274" t="str">
        <f t="shared" si="63"/>
        <v>lt002_instrumentgrss_cmmssn_incm</v>
      </c>
      <c r="B225" s="142" t="s">
        <v>26</v>
      </c>
      <c r="C225" s="138" t="s">
        <v>26</v>
      </c>
      <c r="D225" s="235"/>
      <c r="E225" s="238" t="s">
        <v>380</v>
      </c>
      <c r="F225" s="238"/>
      <c r="G225" s="333" t="s">
        <v>422</v>
      </c>
      <c r="H225" s="235" t="str">
        <f>VLOOKUP(A225,'2. Status Detalhe Campos'!$A$7:$G$574,7,0)</f>
        <v>2.1 Em Teste</v>
      </c>
      <c r="I225" s="276"/>
      <c r="J225" s="285">
        <v>45631</v>
      </c>
      <c r="K225" s="285">
        <v>45631</v>
      </c>
      <c r="L225" s="290">
        <f t="array" ref="L225">MIN(IF(W225:CI225&gt;0,$W$16:$CI$16))</f>
        <v>45665</v>
      </c>
      <c r="M225" s="291">
        <f t="array" ref="M225">MAX(IF(W225:CI225&gt;0,$W$16:$CI$16))</f>
        <v>45665</v>
      </c>
      <c r="N225" s="291"/>
      <c r="O225" s="248">
        <f>VLOOKUP(H225,Auxiliar!$B$16:$E$24,4,0)</f>
        <v>0.25</v>
      </c>
      <c r="P225" s="248">
        <f ca="1">IF(TODAY()&lt;=L225,0,MIN((TODAY()-L225)/(M225-L225+1),100%))</f>
        <v>1</v>
      </c>
      <c r="Q225" s="248">
        <f ca="1">O225-P225</f>
        <v>-0.75</v>
      </c>
      <c r="R225" s="381"/>
      <c r="S225" s="280"/>
      <c r="T225" s="306">
        <v>4</v>
      </c>
      <c r="U225" s="270">
        <f>ROUND(T225/8,1)</f>
        <v>0.5</v>
      </c>
      <c r="V225" s="270">
        <f>SUM(W225:CI225)-U225</f>
        <v>0</v>
      </c>
      <c r="W225" s="281"/>
      <c r="X225" s="281"/>
      <c r="Y225" s="281"/>
      <c r="Z225" s="281"/>
      <c r="AA225" s="281"/>
      <c r="AB225" s="281"/>
      <c r="AC225" s="281"/>
      <c r="AD225" s="282"/>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c r="BA225" s="281"/>
      <c r="BB225" s="269"/>
      <c r="BC225" s="281"/>
      <c r="BD225" s="281"/>
      <c r="BE225" s="281"/>
      <c r="BF225" s="281"/>
      <c r="BG225" s="281"/>
      <c r="BH225" s="281"/>
      <c r="BI225" s="281"/>
      <c r="BJ225" s="281"/>
      <c r="BK225" s="281"/>
      <c r="BL225" s="281"/>
      <c r="BM225" s="281"/>
      <c r="BN225" s="281"/>
      <c r="BO225" s="282"/>
      <c r="BP225" s="282"/>
      <c r="BQ225" s="282"/>
      <c r="BR225" s="282"/>
      <c r="BS225" s="282"/>
      <c r="BT225" s="282"/>
      <c r="BU225" s="282"/>
      <c r="BV225" s="281"/>
      <c r="BW225" s="281"/>
      <c r="BX225" s="281"/>
      <c r="BY225" s="281"/>
      <c r="BZ225" s="281">
        <v>0.5</v>
      </c>
      <c r="CA225" s="281"/>
      <c r="CB225" s="281"/>
      <c r="CC225" s="281"/>
      <c r="CD225" s="281"/>
      <c r="CE225" s="281"/>
      <c r="CF225" s="281"/>
      <c r="CG225" s="281"/>
      <c r="CH225" s="281"/>
      <c r="CI225" s="281"/>
    </row>
    <row r="226" spans="1:87" ht="16.2" hidden="1" outlineLevel="1">
      <c r="A226" s="274" t="str">
        <f t="shared" si="63"/>
        <v>lt002_instrumentgrss_cmmssn_incm_off_blnc</v>
      </c>
      <c r="B226" s="142" t="s">
        <v>26</v>
      </c>
      <c r="C226" s="138" t="s">
        <v>26</v>
      </c>
      <c r="D226" s="235"/>
      <c r="E226" s="238" t="s">
        <v>380</v>
      </c>
      <c r="F226" s="238"/>
      <c r="G226" s="333" t="s">
        <v>423</v>
      </c>
      <c r="H226" s="235" t="str">
        <f>VLOOKUP(A226,'2. Status Detalhe Campos'!$A$7:$G$574,7,0)</f>
        <v>2.1 Em Teste</v>
      </c>
      <c r="I226" s="276"/>
      <c r="J226" s="285">
        <v>45631</v>
      </c>
      <c r="K226" s="285">
        <v>45631</v>
      </c>
      <c r="L226" s="290">
        <f t="array" ref="L226">MIN(IF(W226:CI226&gt;0,$W$16:$CI$16))</f>
        <v>45665</v>
      </c>
      <c r="M226" s="291">
        <f t="array" ref="M226">MAX(IF(W226:CI226&gt;0,$W$16:$CI$16))</f>
        <v>45665</v>
      </c>
      <c r="N226" s="291"/>
      <c r="O226" s="248">
        <f>VLOOKUP(H226,Auxiliar!$B$16:$E$24,4,0)</f>
        <v>0.25</v>
      </c>
      <c r="P226" s="248">
        <f ca="1">IF(TODAY()&lt;=L226,0,MIN((TODAY()-L226)/(M226-L226+1),100%))</f>
        <v>1</v>
      </c>
      <c r="Q226" s="248">
        <f ca="1">O226-P226</f>
        <v>-0.75</v>
      </c>
      <c r="R226" s="381"/>
      <c r="S226" s="280"/>
      <c r="T226" s="306">
        <v>4</v>
      </c>
      <c r="U226" s="270">
        <f>ROUND(T226/8,1)</f>
        <v>0.5</v>
      </c>
      <c r="V226" s="270">
        <f>SUM(W226:CI226)-U226</f>
        <v>0</v>
      </c>
      <c r="W226" s="281"/>
      <c r="X226" s="281"/>
      <c r="Y226" s="281"/>
      <c r="Z226" s="281"/>
      <c r="AA226" s="281"/>
      <c r="AB226" s="281"/>
      <c r="AC226" s="281"/>
      <c r="AD226" s="282"/>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c r="BA226" s="281"/>
      <c r="BB226" s="269"/>
      <c r="BC226" s="281"/>
      <c r="BD226" s="281"/>
      <c r="BE226" s="281"/>
      <c r="BF226" s="281"/>
      <c r="BG226" s="281"/>
      <c r="BH226" s="281"/>
      <c r="BI226" s="281"/>
      <c r="BJ226" s="281"/>
      <c r="BK226" s="281"/>
      <c r="BL226" s="281"/>
      <c r="BM226" s="281"/>
      <c r="BN226" s="281"/>
      <c r="BO226" s="282"/>
      <c r="BP226" s="282"/>
      <c r="BQ226" s="282"/>
      <c r="BR226" s="282"/>
      <c r="BS226" s="282"/>
      <c r="BT226" s="282"/>
      <c r="BU226" s="282"/>
      <c r="BV226" s="281"/>
      <c r="BW226" s="281"/>
      <c r="BX226" s="281"/>
      <c r="BY226" s="281"/>
      <c r="BZ226" s="281">
        <v>0.5</v>
      </c>
      <c r="CA226" s="281"/>
      <c r="CB226" s="281"/>
      <c r="CC226" s="281"/>
      <c r="CD226" s="281"/>
      <c r="CE226" s="281"/>
      <c r="CF226" s="281"/>
      <c r="CG226" s="281"/>
      <c r="CH226" s="281"/>
      <c r="CI226" s="281"/>
    </row>
    <row r="227" spans="1:87" ht="15" customHeight="1" collapsed="1">
      <c r="A227" s="274"/>
      <c r="B227" s="142" t="s">
        <v>26</v>
      </c>
      <c r="C227" s="138" t="s">
        <v>54</v>
      </c>
      <c r="D227" s="134"/>
      <c r="E227" s="239" t="s">
        <v>123</v>
      </c>
      <c r="F227" s="239" t="s">
        <v>1996</v>
      </c>
      <c r="G227" s="331">
        <f>COUNTA(G228:G249)</f>
        <v>22</v>
      </c>
      <c r="H227" s="295" t="s">
        <v>2005</v>
      </c>
      <c r="I227" s="276" t="s">
        <v>38</v>
      </c>
      <c r="J227" s="277">
        <f>MIN(J228:J249)</f>
        <v>45638</v>
      </c>
      <c r="K227" s="277">
        <f>MIN(K228:K249)</f>
        <v>45639</v>
      </c>
      <c r="L227" s="279">
        <f>MIN(L228:L249)</f>
        <v>45639</v>
      </c>
      <c r="M227" s="279">
        <f>MAX(M228:M249)</f>
        <v>45639</v>
      </c>
      <c r="N227" s="323">
        <f t="array" ref="N227">MAX(IF(W227:CI227&gt;0,$W$16:$CI$16))</f>
        <v>45639</v>
      </c>
      <c r="O227" s="322">
        <f>SUMPRODUCT(O228:O249,U228:U249)/SUM(U228:U249)</f>
        <v>1</v>
      </c>
      <c r="P227" s="322">
        <f ca="1">SUMPRODUCT(P228:P249,U228:U249)/SUM(U228:U249)</f>
        <v>1</v>
      </c>
      <c r="Q227" s="247">
        <f t="shared" ca="1" si="58"/>
        <v>0</v>
      </c>
      <c r="R227" s="374" t="s">
        <v>2050</v>
      </c>
      <c r="S227" s="280"/>
      <c r="T227" s="270"/>
      <c r="U227" s="270"/>
      <c r="V227" s="270"/>
      <c r="W227" s="281"/>
      <c r="X227" s="281"/>
      <c r="Y227" s="281"/>
      <c r="Z227" s="288"/>
      <c r="AA227" s="281"/>
      <c r="AB227" s="281"/>
      <c r="AC227" s="281"/>
      <c r="AD227" s="282"/>
      <c r="AE227" s="288"/>
      <c r="AF227" s="281"/>
      <c r="AG227" s="281"/>
      <c r="AH227" s="281"/>
      <c r="AI227" s="289"/>
      <c r="AJ227" s="281"/>
      <c r="AK227" s="281"/>
      <c r="AL227" s="281"/>
      <c r="AM227" s="281"/>
      <c r="AN227" s="326"/>
      <c r="AO227" s="281"/>
      <c r="AP227" s="281"/>
      <c r="AQ227" s="289"/>
      <c r="AR227" s="281"/>
      <c r="AS227" s="281"/>
      <c r="AT227" s="281"/>
      <c r="AU227" s="281"/>
      <c r="AV227" s="281"/>
      <c r="AW227" s="281"/>
      <c r="AX227" s="281"/>
      <c r="AY227" s="281"/>
      <c r="AZ227" s="281"/>
      <c r="BA227" s="281"/>
      <c r="BB227" s="281"/>
      <c r="BC227" s="281"/>
      <c r="BD227" s="281"/>
      <c r="BE227" s="281"/>
      <c r="BF227" s="281"/>
      <c r="BG227" s="283"/>
      <c r="BH227" s="288" t="s">
        <v>444</v>
      </c>
      <c r="BI227" s="281"/>
      <c r="BJ227" s="281"/>
      <c r="BK227" s="281"/>
      <c r="BL227" s="281"/>
      <c r="BM227" s="281"/>
      <c r="BN227" s="281"/>
      <c r="BO227" s="282"/>
      <c r="BP227" s="282"/>
      <c r="BQ227" s="282"/>
      <c r="BR227" s="282"/>
      <c r="BS227" s="282"/>
      <c r="BT227" s="282"/>
      <c r="BU227" s="282"/>
      <c r="BV227" s="281"/>
      <c r="BW227" s="281"/>
      <c r="BX227" s="281"/>
      <c r="BY227" s="281"/>
      <c r="BZ227" s="281"/>
      <c r="CA227" s="281"/>
      <c r="CB227" s="281"/>
      <c r="CC227" s="281"/>
      <c r="CD227" s="281"/>
      <c r="CE227" s="281"/>
      <c r="CF227" s="281"/>
      <c r="CG227" s="281"/>
      <c r="CH227" s="281"/>
      <c r="CI227" s="281"/>
    </row>
    <row r="228" spans="1:87" ht="16.2" hidden="1" outlineLevel="1">
      <c r="A228" s="274" t="str">
        <f t="shared" si="57"/>
        <v>PROPERTY_ENERGY_CERTIFICATELAND_REGISTRY_OFFICE_CODE</v>
      </c>
      <c r="B228" s="142" t="s">
        <v>26</v>
      </c>
      <c r="C228" s="138" t="s">
        <v>54</v>
      </c>
      <c r="D228" s="235" t="s">
        <v>40</v>
      </c>
      <c r="E228" s="236" t="s">
        <v>123</v>
      </c>
      <c r="F228" s="236"/>
      <c r="G228" s="332" t="s">
        <v>125</v>
      </c>
      <c r="H228" s="235" t="str">
        <f>VLOOKUP(A228,'2. Status Detalhe Campos'!$A$7:$G$574,7,0)</f>
        <v>1. Concluído</v>
      </c>
      <c r="I228" s="276" t="s">
        <v>38</v>
      </c>
      <c r="J228" s="285">
        <v>45638</v>
      </c>
      <c r="K228" s="285">
        <v>45639</v>
      </c>
      <c r="L228" s="290">
        <f t="array" ref="L228">MIN(IF(W228:CI228&gt;0,$W$16:$CI$16))</f>
        <v>45639</v>
      </c>
      <c r="M228" s="291">
        <f t="array" ref="M228">MAX(IF(W228:CI228&gt;0,$W$16:$CI$16))</f>
        <v>45639</v>
      </c>
      <c r="N228" s="291"/>
      <c r="O228" s="248">
        <f>VLOOKUP(H228,Auxiliar!$B$16:$E$24,4,0)</f>
        <v>1</v>
      </c>
      <c r="P228" s="315">
        <f t="shared" ca="1" si="61"/>
        <v>1</v>
      </c>
      <c r="Q228" s="247">
        <f t="shared" ca="1" si="58"/>
        <v>0</v>
      </c>
      <c r="R228" s="381"/>
      <c r="S228" s="292" t="s">
        <v>1944</v>
      </c>
      <c r="T228" s="270">
        <v>4.0999999999999996</v>
      </c>
      <c r="U228" s="270">
        <f t="shared" si="59"/>
        <v>0.5</v>
      </c>
      <c r="V228" s="270">
        <f t="shared" ref="V228:V249" si="64">SUM(W228:CI228)-U228</f>
        <v>-0.5</v>
      </c>
      <c r="W228" s="281"/>
      <c r="X228" s="281"/>
      <c r="Y228" s="281"/>
      <c r="Z228" s="288"/>
      <c r="AA228" s="281"/>
      <c r="AB228" s="281"/>
      <c r="AC228" s="281"/>
      <c r="AD228" s="282"/>
      <c r="AE228" s="288"/>
      <c r="AF228" s="281"/>
      <c r="AG228" s="281"/>
      <c r="AH228" s="281"/>
      <c r="AI228" s="289"/>
      <c r="AJ228" s="281"/>
      <c r="AK228" s="281"/>
      <c r="AL228" s="281"/>
      <c r="AM228" s="281"/>
      <c r="AN228" s="281"/>
      <c r="AO228" s="281"/>
      <c r="AP228" s="281"/>
      <c r="AQ228" s="289"/>
      <c r="AR228" s="281"/>
      <c r="AS228" s="281"/>
      <c r="AT228" s="281"/>
      <c r="AU228" s="281"/>
      <c r="AV228" s="281"/>
      <c r="AW228" s="281"/>
      <c r="AX228" s="281"/>
      <c r="AY228" s="281"/>
      <c r="AZ228" s="281"/>
      <c r="BA228" s="281"/>
      <c r="BB228" s="281"/>
      <c r="BC228" s="281"/>
      <c r="BD228" s="281"/>
      <c r="BE228" s="281"/>
      <c r="BF228" s="281"/>
      <c r="BG228" s="283"/>
      <c r="BH228" s="288" t="s">
        <v>444</v>
      </c>
      <c r="BI228" s="281"/>
      <c r="BJ228" s="281"/>
      <c r="BK228" s="281"/>
      <c r="BL228" s="281"/>
      <c r="BM228" s="281"/>
      <c r="BN228" s="281"/>
      <c r="BO228" s="282"/>
      <c r="BP228" s="282"/>
      <c r="BQ228" s="282"/>
      <c r="BR228" s="282"/>
      <c r="BS228" s="282"/>
      <c r="BT228" s="282"/>
      <c r="BU228" s="282"/>
      <c r="BV228" s="281"/>
      <c r="BW228" s="281"/>
      <c r="BX228" s="281"/>
      <c r="BY228" s="281"/>
      <c r="BZ228" s="281"/>
      <c r="CA228" s="281"/>
      <c r="CB228" s="281"/>
      <c r="CC228" s="281"/>
      <c r="CD228" s="281"/>
      <c r="CE228" s="281"/>
      <c r="CF228" s="281"/>
      <c r="CG228" s="281"/>
      <c r="CH228" s="281"/>
      <c r="CI228" s="281"/>
    </row>
    <row r="229" spans="1:87" ht="16.2" hidden="1" outlineLevel="1">
      <c r="A229" s="274" t="str">
        <f t="shared" si="57"/>
        <v>PROPERTY_ENERGY_CERTIFICATEPROPERTY_IDENTIFICATION_CODE</v>
      </c>
      <c r="B229" s="142" t="s">
        <v>26</v>
      </c>
      <c r="C229" s="138" t="s">
        <v>54</v>
      </c>
      <c r="D229" s="235" t="s">
        <v>40</v>
      </c>
      <c r="E229" s="236" t="s">
        <v>123</v>
      </c>
      <c r="F229" s="236"/>
      <c r="G229" s="332" t="s">
        <v>126</v>
      </c>
      <c r="H229" s="235" t="str">
        <f>VLOOKUP(A229,'2. Status Detalhe Campos'!$A$7:$G$574,7,0)</f>
        <v>1. Concluído</v>
      </c>
      <c r="I229" s="276" t="s">
        <v>38</v>
      </c>
      <c r="J229" s="285">
        <v>45638</v>
      </c>
      <c r="K229" s="285">
        <v>45639</v>
      </c>
      <c r="L229" s="290">
        <f t="array" ref="L229">MIN(IF(W229:CI229&gt;0,$W$16:$CI$16))</f>
        <v>45639</v>
      </c>
      <c r="M229" s="291">
        <f t="array" ref="M229">MAX(IF(W229:CI229&gt;0,$W$16:$CI$16))</f>
        <v>45639</v>
      </c>
      <c r="N229" s="291"/>
      <c r="O229" s="248">
        <f>VLOOKUP(H229,Auxiliar!$B$16:$E$24,4,0)</f>
        <v>1</v>
      </c>
      <c r="P229" s="315">
        <f t="shared" ca="1" si="61"/>
        <v>1</v>
      </c>
      <c r="Q229" s="247">
        <f t="shared" ca="1" si="58"/>
        <v>0</v>
      </c>
      <c r="R229" s="381"/>
      <c r="S229" s="292" t="s">
        <v>1944</v>
      </c>
      <c r="T229" s="270">
        <v>4.0999999999999996</v>
      </c>
      <c r="U229" s="270">
        <f t="shared" si="59"/>
        <v>0.5</v>
      </c>
      <c r="V229" s="270">
        <f t="shared" si="64"/>
        <v>-0.5</v>
      </c>
      <c r="W229" s="281"/>
      <c r="X229" s="281"/>
      <c r="Y229" s="281"/>
      <c r="Z229" s="288"/>
      <c r="AA229" s="281"/>
      <c r="AB229" s="281"/>
      <c r="AC229" s="281"/>
      <c r="AD229" s="282"/>
      <c r="AE229" s="288"/>
      <c r="AF229" s="281"/>
      <c r="AG229" s="281"/>
      <c r="AH229" s="281"/>
      <c r="AI229" s="289"/>
      <c r="AJ229" s="281"/>
      <c r="AK229" s="281"/>
      <c r="AL229" s="281"/>
      <c r="AM229" s="281"/>
      <c r="AN229" s="281"/>
      <c r="AO229" s="281"/>
      <c r="AP229" s="281"/>
      <c r="AQ229" s="289"/>
      <c r="AR229" s="281"/>
      <c r="AS229" s="281"/>
      <c r="AT229" s="281"/>
      <c r="AU229" s="281"/>
      <c r="AV229" s="281"/>
      <c r="AW229" s="281"/>
      <c r="AX229" s="281"/>
      <c r="AY229" s="281"/>
      <c r="AZ229" s="281"/>
      <c r="BA229" s="281"/>
      <c r="BB229" s="281"/>
      <c r="BC229" s="281"/>
      <c r="BD229" s="281"/>
      <c r="BE229" s="281"/>
      <c r="BF229" s="281"/>
      <c r="BG229" s="283"/>
      <c r="BH229" s="288"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c r="A230" s="274" t="str">
        <f t="shared" si="57"/>
        <v>PROPERTY_ENERGY_CERTIFICATEENERGY_CERTIFICATION_SYSTEM_CODE</v>
      </c>
      <c r="B230" s="142" t="s">
        <v>26</v>
      </c>
      <c r="C230" s="138" t="s">
        <v>54</v>
      </c>
      <c r="D230" s="235" t="s">
        <v>40</v>
      </c>
      <c r="E230" s="236" t="s">
        <v>123</v>
      </c>
      <c r="F230" s="236"/>
      <c r="G230" s="332" t="s">
        <v>127</v>
      </c>
      <c r="H230" s="235" t="str">
        <f>VLOOKUP(A230,'2. Status Detalhe Campos'!$A$7:$G$574,7,0)</f>
        <v>1. Concluído</v>
      </c>
      <c r="I230" s="276" t="s">
        <v>38</v>
      </c>
      <c r="J230" s="285">
        <v>45638</v>
      </c>
      <c r="K230" s="285">
        <v>45639</v>
      </c>
      <c r="L230" s="290">
        <f t="array" ref="L230">MIN(IF(W230:CI230&gt;0,$W$16:$CI$16))</f>
        <v>45639</v>
      </c>
      <c r="M230" s="291">
        <f t="array" ref="M230">MAX(IF(W230:CI230&gt;0,$W$16:$CI$16))</f>
        <v>45639</v>
      </c>
      <c r="N230" s="291"/>
      <c r="O230" s="248">
        <f>VLOOKUP(H230,Auxiliar!$B$16:$E$24,4,0)</f>
        <v>1</v>
      </c>
      <c r="P230" s="315">
        <f t="shared" ca="1" si="61"/>
        <v>1</v>
      </c>
      <c r="Q230" s="247">
        <f t="shared" ca="1" si="58"/>
        <v>0</v>
      </c>
      <c r="R230" s="381"/>
      <c r="S230" s="292" t="s">
        <v>1944</v>
      </c>
      <c r="T230" s="270">
        <v>4.0999999999999996</v>
      </c>
      <c r="U230" s="270">
        <f t="shared" si="59"/>
        <v>0.5</v>
      </c>
      <c r="V230" s="270">
        <f t="shared" si="64"/>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8"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c r="A231" s="274" t="str">
        <f t="shared" si="57"/>
        <v>PROPERTY_ENERGY_CERTIFICATEEPC_ISSUING_DATE</v>
      </c>
      <c r="B231" s="142" t="s">
        <v>26</v>
      </c>
      <c r="C231" s="138" t="s">
        <v>54</v>
      </c>
      <c r="D231" s="235" t="s">
        <v>40</v>
      </c>
      <c r="E231" s="236" t="s">
        <v>123</v>
      </c>
      <c r="F231" s="236"/>
      <c r="G231" s="332" t="s">
        <v>128</v>
      </c>
      <c r="H231" s="235" t="str">
        <f>VLOOKUP(A231,'2. Status Detalhe Campos'!$A$7:$G$574,7,0)</f>
        <v>1. Concluído</v>
      </c>
      <c r="I231" s="276" t="s">
        <v>38</v>
      </c>
      <c r="J231" s="285">
        <v>45638</v>
      </c>
      <c r="K231" s="285">
        <v>45639</v>
      </c>
      <c r="L231" s="290">
        <f t="array" ref="L231">MIN(IF(W231:CI231&gt;0,$W$16:$CI$16))</f>
        <v>45639</v>
      </c>
      <c r="M231" s="291">
        <f t="array" ref="M231">MAX(IF(W231:CI231&gt;0,$W$16:$CI$16))</f>
        <v>45639</v>
      </c>
      <c r="N231" s="291"/>
      <c r="O231" s="248">
        <f>VLOOKUP(H231,Auxiliar!$B$16:$E$24,4,0)</f>
        <v>1</v>
      </c>
      <c r="P231" s="315">
        <f t="shared" ca="1" si="61"/>
        <v>1</v>
      </c>
      <c r="Q231" s="247">
        <f t="shared" ca="1" si="58"/>
        <v>0</v>
      </c>
      <c r="R231" s="381"/>
      <c r="S231" s="292" t="s">
        <v>1944</v>
      </c>
      <c r="T231" s="270">
        <v>4.0999999999999996</v>
      </c>
      <c r="U231" s="270">
        <f t="shared" si="59"/>
        <v>0.5</v>
      </c>
      <c r="V231" s="270">
        <f t="shared" si="64"/>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8"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c r="A232" s="274" t="str">
        <f t="shared" si="57"/>
        <v>PROPERTY_ENERGY_CERTIFICATEEPC_EXPIRATION_DATE</v>
      </c>
      <c r="B232" s="142" t="s">
        <v>26</v>
      </c>
      <c r="C232" s="138" t="s">
        <v>54</v>
      </c>
      <c r="D232" s="235" t="s">
        <v>40</v>
      </c>
      <c r="E232" s="236" t="s">
        <v>123</v>
      </c>
      <c r="F232" s="236"/>
      <c r="G232" s="332" t="s">
        <v>129</v>
      </c>
      <c r="H232" s="235" t="str">
        <f>VLOOKUP(A232,'2. Status Detalhe Campos'!$A$7:$G$574,7,0)</f>
        <v>1. Concluído</v>
      </c>
      <c r="I232" s="276" t="s">
        <v>38</v>
      </c>
      <c r="J232" s="285">
        <v>45638</v>
      </c>
      <c r="K232" s="285">
        <v>45639</v>
      </c>
      <c r="L232" s="290">
        <f t="array" ref="L232">MIN(IF(W232:CI232&gt;0,$W$16:$CI$16))</f>
        <v>45639</v>
      </c>
      <c r="M232" s="291">
        <f t="array" ref="M232">MAX(IF(W232:CI232&gt;0,$W$16:$CI$16))</f>
        <v>45639</v>
      </c>
      <c r="N232" s="291"/>
      <c r="O232" s="248">
        <f>VLOOKUP(H232,Auxiliar!$B$16:$E$24,4,0)</f>
        <v>1</v>
      </c>
      <c r="P232" s="315">
        <f t="shared" ca="1" si="61"/>
        <v>1</v>
      </c>
      <c r="Q232" s="247">
        <f t="shared" ca="1" si="58"/>
        <v>0</v>
      </c>
      <c r="R232" s="381"/>
      <c r="S232" s="292" t="s">
        <v>1944</v>
      </c>
      <c r="T232" s="270">
        <v>4.0999999999999996</v>
      </c>
      <c r="U232" s="270">
        <f t="shared" si="59"/>
        <v>0.5</v>
      </c>
      <c r="V232" s="270">
        <f t="shared" si="64"/>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8"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c r="A233" s="274" t="str">
        <f t="shared" si="57"/>
        <v>PROPERTY_ENERGY_CERTIFICATEEPC</v>
      </c>
      <c r="B233" s="142" t="s">
        <v>26</v>
      </c>
      <c r="C233" s="138" t="s">
        <v>54</v>
      </c>
      <c r="D233" s="235" t="s">
        <v>40</v>
      </c>
      <c r="E233" s="236" t="s">
        <v>123</v>
      </c>
      <c r="F233" s="236"/>
      <c r="G233" s="332" t="s">
        <v>47</v>
      </c>
      <c r="H233" s="235" t="str">
        <f>VLOOKUP(A233,'2. Status Detalhe Campos'!$A$7:$G$574,7,0)</f>
        <v>1. Concluído</v>
      </c>
      <c r="I233" s="276" t="s">
        <v>38</v>
      </c>
      <c r="J233" s="285">
        <v>45638</v>
      </c>
      <c r="K233" s="285">
        <v>45639</v>
      </c>
      <c r="L233" s="290">
        <f t="array" ref="L233">MIN(IF(W233:CI233&gt;0,$W$16:$CI$16))</f>
        <v>45639</v>
      </c>
      <c r="M233" s="291">
        <f t="array" ref="M233">MAX(IF(W233:CI233&gt;0,$W$16:$CI$16))</f>
        <v>45639</v>
      </c>
      <c r="N233" s="291"/>
      <c r="O233" s="248">
        <f>VLOOKUP(H233,Auxiliar!$B$16:$E$24,4,0)</f>
        <v>1</v>
      </c>
      <c r="P233" s="315">
        <f t="shared" ca="1" si="61"/>
        <v>1</v>
      </c>
      <c r="Q233" s="247">
        <f t="shared" ca="1" si="58"/>
        <v>0</v>
      </c>
      <c r="R233" s="381"/>
      <c r="S233" s="292" t="s">
        <v>1944</v>
      </c>
      <c r="T233" s="270">
        <v>4.0999999999999996</v>
      </c>
      <c r="U233" s="270">
        <f t="shared" si="59"/>
        <v>0.5</v>
      </c>
      <c r="V233" s="270">
        <f t="shared" si="64"/>
        <v>-0.5</v>
      </c>
      <c r="W233" s="281"/>
      <c r="X233" s="281"/>
      <c r="Y233" s="281"/>
      <c r="Z233" s="288"/>
      <c r="AA233" s="281"/>
      <c r="AB233" s="281"/>
      <c r="AC233" s="281"/>
      <c r="AD233" s="282"/>
      <c r="AE233" s="288"/>
      <c r="AF233" s="281"/>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8"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c r="A234" s="274" t="str">
        <f t="shared" si="57"/>
        <v>PROPERTY_ENERGY_CERTIFICATEENERGY_EFFICIENCY_IND</v>
      </c>
      <c r="B234" s="142" t="s">
        <v>26</v>
      </c>
      <c r="C234" s="138" t="s">
        <v>54</v>
      </c>
      <c r="D234" s="235" t="s">
        <v>40</v>
      </c>
      <c r="E234" s="236" t="s">
        <v>123</v>
      </c>
      <c r="F234" s="236"/>
      <c r="G234" s="332" t="s">
        <v>132</v>
      </c>
      <c r="H234" s="235" t="str">
        <f>VLOOKUP(A234,'2. Status Detalhe Campos'!$A$7:$G$574,7,0)</f>
        <v>1. Concluído</v>
      </c>
      <c r="I234" s="276" t="s">
        <v>38</v>
      </c>
      <c r="J234" s="285">
        <v>45638</v>
      </c>
      <c r="K234" s="285">
        <v>45639</v>
      </c>
      <c r="L234" s="290">
        <f t="array" ref="L234">MIN(IF(W234:CI234&gt;0,$W$16:$CI$16))</f>
        <v>45639</v>
      </c>
      <c r="M234" s="291">
        <f t="array" ref="M234">MAX(IF(W234:CI234&gt;0,$W$16:$CI$16))</f>
        <v>45639</v>
      </c>
      <c r="N234" s="291"/>
      <c r="O234" s="248">
        <f>VLOOKUP(H234,Auxiliar!$B$16:$E$24,4,0)</f>
        <v>1</v>
      </c>
      <c r="P234" s="315">
        <f t="shared" ca="1" si="61"/>
        <v>1</v>
      </c>
      <c r="Q234" s="247">
        <f t="shared" ca="1" si="58"/>
        <v>0</v>
      </c>
      <c r="R234" s="381"/>
      <c r="S234" s="292" t="s">
        <v>1944</v>
      </c>
      <c r="T234" s="270">
        <v>4.0999999999999996</v>
      </c>
      <c r="U234" s="270">
        <f t="shared" si="59"/>
        <v>0.5</v>
      </c>
      <c r="V234" s="270">
        <f t="shared" si="64"/>
        <v>-0.5</v>
      </c>
      <c r="W234" s="281"/>
      <c r="X234" s="281"/>
      <c r="Y234" s="281"/>
      <c r="Z234" s="288"/>
      <c r="AA234" s="281"/>
      <c r="AB234" s="281"/>
      <c r="AC234" s="281"/>
      <c r="AD234" s="282"/>
      <c r="AE234" s="288"/>
      <c r="AF234" s="281"/>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8"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c r="A235" s="274" t="str">
        <f t="shared" si="57"/>
        <v>PROPERTY_ENERGY_CERTIFICATENZEB_IND</v>
      </c>
      <c r="B235" s="142" t="s">
        <v>26</v>
      </c>
      <c r="C235" s="138" t="s">
        <v>54</v>
      </c>
      <c r="D235" s="235" t="s">
        <v>40</v>
      </c>
      <c r="E235" s="236" t="s">
        <v>123</v>
      </c>
      <c r="F235" s="236"/>
      <c r="G235" s="332" t="s">
        <v>134</v>
      </c>
      <c r="H235" s="235" t="str">
        <f>VLOOKUP(A235,'2. Status Detalhe Campos'!$A$7:$G$574,7,0)</f>
        <v>1. Concluído</v>
      </c>
      <c r="I235" s="276" t="s">
        <v>38</v>
      </c>
      <c r="J235" s="285">
        <v>45638</v>
      </c>
      <c r="K235" s="285">
        <v>45639</v>
      </c>
      <c r="L235" s="290">
        <f t="array" ref="L235">MIN(IF(W235:CI235&gt;0,$W$16:$CI$16))</f>
        <v>45639</v>
      </c>
      <c r="M235" s="291">
        <f t="array" ref="M235">MAX(IF(W235:CI235&gt;0,$W$16:$CI$16))</f>
        <v>45639</v>
      </c>
      <c r="N235" s="291"/>
      <c r="O235" s="248">
        <f>VLOOKUP(H235,Auxiliar!$B$16:$E$24,4,0)</f>
        <v>1</v>
      </c>
      <c r="P235" s="315">
        <f t="shared" ca="1" si="61"/>
        <v>1</v>
      </c>
      <c r="Q235" s="247">
        <f t="shared" ca="1" si="58"/>
        <v>0</v>
      </c>
      <c r="R235" s="381"/>
      <c r="S235" s="292" t="s">
        <v>1944</v>
      </c>
      <c r="T235" s="270">
        <v>4.0999999999999996</v>
      </c>
      <c r="U235" s="270">
        <f t="shared" si="59"/>
        <v>0.5</v>
      </c>
      <c r="V235" s="270">
        <f t="shared" si="64"/>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8"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c r="A236" s="274" t="str">
        <f t="shared" si="57"/>
        <v>PROPERTY_ENERGY_CERTIFICATEACTUAL_VALUE_IND</v>
      </c>
      <c r="B236" s="142" t="s">
        <v>26</v>
      </c>
      <c r="C236" s="138" t="s">
        <v>54</v>
      </c>
      <c r="D236" s="235" t="s">
        <v>40</v>
      </c>
      <c r="E236" s="236" t="s">
        <v>123</v>
      </c>
      <c r="F236" s="236"/>
      <c r="G236" s="332" t="s">
        <v>49</v>
      </c>
      <c r="H236" s="235" t="str">
        <f>VLOOKUP(A236,'2. Status Detalhe Campos'!$A$7:$G$574,7,0)</f>
        <v>1. Concluído</v>
      </c>
      <c r="I236" s="276" t="s">
        <v>38</v>
      </c>
      <c r="J236" s="285">
        <v>45638</v>
      </c>
      <c r="K236" s="285">
        <v>45639</v>
      </c>
      <c r="L236" s="290">
        <f t="array" ref="L236">MIN(IF(W236:CI236&gt;0,$W$16:$CI$16))</f>
        <v>45639</v>
      </c>
      <c r="M236" s="291">
        <f t="array" ref="M236">MAX(IF(W236:CI236&gt;0,$W$16:$CI$16))</f>
        <v>45639</v>
      </c>
      <c r="N236" s="291"/>
      <c r="O236" s="248">
        <f>VLOOKUP(H236,Auxiliar!$B$16:$E$24,4,0)</f>
        <v>1</v>
      </c>
      <c r="P236" s="315">
        <f t="shared" ca="1" si="61"/>
        <v>1</v>
      </c>
      <c r="Q236" s="247">
        <f t="shared" ca="1" si="58"/>
        <v>0</v>
      </c>
      <c r="R236" s="381"/>
      <c r="S236" s="292" t="s">
        <v>1944</v>
      </c>
      <c r="T236" s="270">
        <v>4.0999999999999996</v>
      </c>
      <c r="U236" s="270">
        <f t="shared" si="59"/>
        <v>0.5</v>
      </c>
      <c r="V236" s="270">
        <f t="shared" si="64"/>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8"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c r="A237" s="274" t="str">
        <f t="shared" si="57"/>
        <v>PROPERTY_ENERGY_CERTIFICATESOURCE_CODE</v>
      </c>
      <c r="B237" s="142" t="s">
        <v>26</v>
      </c>
      <c r="C237" s="138" t="s">
        <v>54</v>
      </c>
      <c r="D237" s="235" t="s">
        <v>40</v>
      </c>
      <c r="E237" s="236" t="s">
        <v>123</v>
      </c>
      <c r="F237" s="236"/>
      <c r="G237" s="332" t="s">
        <v>87</v>
      </c>
      <c r="H237" s="235" t="str">
        <f>VLOOKUP(A237,'2. Status Detalhe Campos'!$A$7:$G$574,7,0)</f>
        <v>1. Concluído</v>
      </c>
      <c r="I237" s="276" t="s">
        <v>38</v>
      </c>
      <c r="J237" s="285">
        <v>45638</v>
      </c>
      <c r="K237" s="285">
        <v>45639</v>
      </c>
      <c r="L237" s="290">
        <f t="array" ref="L237">MIN(IF(W237:CI237&gt;0,$W$16:$CI$16))</f>
        <v>45639</v>
      </c>
      <c r="M237" s="291">
        <f t="array" ref="M237">MAX(IF(W237:CI237&gt;0,$W$16:$CI$16))</f>
        <v>45639</v>
      </c>
      <c r="N237" s="291"/>
      <c r="O237" s="248">
        <f>VLOOKUP(H237,Auxiliar!$B$16:$E$24,4,0)</f>
        <v>1</v>
      </c>
      <c r="P237" s="315">
        <f t="shared" ca="1" si="61"/>
        <v>1</v>
      </c>
      <c r="Q237" s="247">
        <f t="shared" ca="1" si="58"/>
        <v>0</v>
      </c>
      <c r="R237" s="381"/>
      <c r="S237" s="292" t="s">
        <v>1944</v>
      </c>
      <c r="T237" s="270">
        <v>4.0999999999999996</v>
      </c>
      <c r="U237" s="270">
        <f t="shared" si="59"/>
        <v>0.5</v>
      </c>
      <c r="V237" s="270">
        <f t="shared" si="64"/>
        <v>-0.5</v>
      </c>
      <c r="W237" s="281"/>
      <c r="X237" s="281"/>
      <c r="Y237" s="281"/>
      <c r="Z237" s="288"/>
      <c r="AA237" s="281"/>
      <c r="AB237" s="281"/>
      <c r="AC237" s="281"/>
      <c r="AD237" s="282"/>
      <c r="AE237" s="288"/>
      <c r="AF237" s="293"/>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8"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c r="A238" s="274" t="str">
        <f t="shared" si="57"/>
        <v>PROPERTY_ENERGY_CERTIFICATECERTIFICATE_TYPE</v>
      </c>
      <c r="B238" s="142" t="s">
        <v>26</v>
      </c>
      <c r="C238" s="138" t="s">
        <v>54</v>
      </c>
      <c r="D238" s="235" t="s">
        <v>40</v>
      </c>
      <c r="E238" s="236" t="s">
        <v>123</v>
      </c>
      <c r="F238" s="236"/>
      <c r="G238" s="332" t="s">
        <v>136</v>
      </c>
      <c r="H238" s="235" t="str">
        <f>VLOOKUP(A238,'2. Status Detalhe Campos'!$A$7:$G$574,7,0)</f>
        <v>1. Concluído</v>
      </c>
      <c r="I238" s="276" t="s">
        <v>38</v>
      </c>
      <c r="J238" s="285">
        <v>45638</v>
      </c>
      <c r="K238" s="285">
        <v>45639</v>
      </c>
      <c r="L238" s="290">
        <f t="array" ref="L238">MIN(IF(W238:CI238&gt;0,$W$16:$CI$16))</f>
        <v>45639</v>
      </c>
      <c r="M238" s="291">
        <f t="array" ref="M238">MAX(IF(W238:CI238&gt;0,$W$16:$CI$16))</f>
        <v>45639</v>
      </c>
      <c r="N238" s="291"/>
      <c r="O238" s="248">
        <f>VLOOKUP(H238,Auxiliar!$B$16:$E$24,4,0)</f>
        <v>1</v>
      </c>
      <c r="P238" s="315">
        <f t="shared" ca="1" si="61"/>
        <v>1</v>
      </c>
      <c r="Q238" s="247">
        <f t="shared" ca="1" si="58"/>
        <v>0</v>
      </c>
      <c r="R238" s="381"/>
      <c r="S238" s="292" t="s">
        <v>1944</v>
      </c>
      <c r="T238" s="270">
        <v>4.0999999999999996</v>
      </c>
      <c r="U238" s="270">
        <f t="shared" si="59"/>
        <v>0.5</v>
      </c>
      <c r="V238" s="270">
        <f t="shared" si="64"/>
        <v>-0.5</v>
      </c>
      <c r="W238" s="281"/>
      <c r="X238" s="281"/>
      <c r="Y238" s="281"/>
      <c r="Z238" s="288"/>
      <c r="AA238" s="281"/>
      <c r="AB238" s="281"/>
      <c r="AC238" s="281"/>
      <c r="AD238" s="282"/>
      <c r="AE238" s="288"/>
      <c r="AF238" s="281"/>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8"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c r="A239" s="274" t="str">
        <f t="shared" si="57"/>
        <v>PROPERTY_ENERGY_CERTIFICATEENERGY_CONSUMPTION_VALUE_YEAR</v>
      </c>
      <c r="B239" s="142" t="s">
        <v>26</v>
      </c>
      <c r="C239" s="138" t="s">
        <v>54</v>
      </c>
      <c r="D239" s="235" t="s">
        <v>40</v>
      </c>
      <c r="E239" s="236" t="s">
        <v>123</v>
      </c>
      <c r="F239" s="236"/>
      <c r="G239" s="332" t="s">
        <v>51</v>
      </c>
      <c r="H239" s="235" t="str">
        <f>VLOOKUP(A239,'2. Status Detalhe Campos'!$A$7:$G$574,7,0)</f>
        <v>1. Concluído</v>
      </c>
      <c r="I239" s="276" t="s">
        <v>38</v>
      </c>
      <c r="J239" s="285">
        <v>45638</v>
      </c>
      <c r="K239" s="285">
        <v>45639</v>
      </c>
      <c r="L239" s="290">
        <f t="array" ref="L239">MIN(IF(W239:CI239&gt;0,$W$16:$CI$16))</f>
        <v>45639</v>
      </c>
      <c r="M239" s="291">
        <f t="array" ref="M239">MAX(IF(W239:CI239&gt;0,$W$16:$CI$16))</f>
        <v>45639</v>
      </c>
      <c r="N239" s="291"/>
      <c r="O239" s="248">
        <f>VLOOKUP(H239,Auxiliar!$B$16:$E$24,4,0)</f>
        <v>1</v>
      </c>
      <c r="P239" s="315">
        <f t="shared" ca="1" si="61"/>
        <v>1</v>
      </c>
      <c r="Q239" s="247">
        <f t="shared" ca="1" si="58"/>
        <v>0</v>
      </c>
      <c r="R239" s="381"/>
      <c r="S239" s="292" t="s">
        <v>1944</v>
      </c>
      <c r="T239" s="270">
        <v>4.0999999999999996</v>
      </c>
      <c r="U239" s="270">
        <f t="shared" si="59"/>
        <v>0.5</v>
      </c>
      <c r="V239" s="270">
        <f t="shared" si="64"/>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8"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c r="A240" s="274" t="str">
        <f t="shared" si="57"/>
        <v>PROPERTY_ENERGY_CERTIFICATECARBON_EMISSION_VALUE_YEAR</v>
      </c>
      <c r="B240" s="142" t="s">
        <v>26</v>
      </c>
      <c r="C240" s="138" t="s">
        <v>54</v>
      </c>
      <c r="D240" s="235" t="s">
        <v>40</v>
      </c>
      <c r="E240" s="236" t="s">
        <v>123</v>
      </c>
      <c r="F240" s="236"/>
      <c r="G240" s="332" t="s">
        <v>52</v>
      </c>
      <c r="H240" s="235" t="str">
        <f>VLOOKUP(A240,'2. Status Detalhe Campos'!$A$7:$G$574,7,0)</f>
        <v>1. Concluído</v>
      </c>
      <c r="I240" s="276" t="s">
        <v>38</v>
      </c>
      <c r="J240" s="285">
        <v>45638</v>
      </c>
      <c r="K240" s="285">
        <v>45639</v>
      </c>
      <c r="L240" s="290">
        <f t="array" ref="L240">MIN(IF(W240:CI240&gt;0,$W$16:$CI$16))</f>
        <v>45639</v>
      </c>
      <c r="M240" s="291">
        <f t="array" ref="M240">MAX(IF(W240:CI240&gt;0,$W$16:$CI$16))</f>
        <v>45639</v>
      </c>
      <c r="N240" s="291"/>
      <c r="O240" s="248">
        <f>VLOOKUP(H240,Auxiliar!$B$16:$E$24,4,0)</f>
        <v>1</v>
      </c>
      <c r="P240" s="315">
        <f t="shared" ca="1" si="61"/>
        <v>1</v>
      </c>
      <c r="Q240" s="247">
        <f t="shared" ca="1" si="58"/>
        <v>0</v>
      </c>
      <c r="R240" s="381"/>
      <c r="S240" s="292" t="s">
        <v>1944</v>
      </c>
      <c r="T240" s="270">
        <v>4.0999999999999996</v>
      </c>
      <c r="U240" s="270">
        <f t="shared" si="59"/>
        <v>0.5</v>
      </c>
      <c r="V240" s="270">
        <f t="shared" si="64"/>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8"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c r="A241" s="274" t="str">
        <f t="shared" si="57"/>
        <v>PROPERTY_ENERGY_CERTIFICATEREN_ENERGY_PRODUCED_VALUE</v>
      </c>
      <c r="B241" s="142" t="s">
        <v>26</v>
      </c>
      <c r="C241" s="138" t="s">
        <v>54</v>
      </c>
      <c r="D241" s="235" t="s">
        <v>40</v>
      </c>
      <c r="E241" s="236" t="s">
        <v>123</v>
      </c>
      <c r="F241" s="236"/>
      <c r="G241" s="332" t="s">
        <v>160</v>
      </c>
      <c r="H241" s="235" t="str">
        <f>VLOOKUP(A241,'2. Status Detalhe Campos'!$A$7:$G$574,7,0)</f>
        <v>1. Concluído</v>
      </c>
      <c r="I241" s="276" t="s">
        <v>38</v>
      </c>
      <c r="J241" s="285">
        <v>45638</v>
      </c>
      <c r="K241" s="285">
        <v>45639</v>
      </c>
      <c r="L241" s="290">
        <f t="array" ref="L241">MIN(IF(W241:CI241&gt;0,$W$16:$CI$16))</f>
        <v>45639</v>
      </c>
      <c r="M241" s="291">
        <f t="array" ref="M241">MAX(IF(W241:CI241&gt;0,$W$16:$CI$16))</f>
        <v>45639</v>
      </c>
      <c r="N241" s="291"/>
      <c r="O241" s="248">
        <f>VLOOKUP(H241,Auxiliar!$B$16:$E$24,4,0)</f>
        <v>1</v>
      </c>
      <c r="P241" s="315">
        <f t="shared" ca="1" si="61"/>
        <v>1</v>
      </c>
      <c r="Q241" s="247">
        <f t="shared" ca="1" si="58"/>
        <v>0</v>
      </c>
      <c r="R241" s="381"/>
      <c r="S241" s="292" t="s">
        <v>1944</v>
      </c>
      <c r="T241" s="270">
        <v>4.0999999999999996</v>
      </c>
      <c r="U241" s="270">
        <f t="shared" si="59"/>
        <v>0.5</v>
      </c>
      <c r="V241" s="270">
        <f t="shared" si="64"/>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8"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c r="A242" s="274" t="str">
        <f t="shared" si="57"/>
        <v>PROPERTY_ENERGY_CERTIFICATEPRIMARY_ENERGY_REQ_VALUE</v>
      </c>
      <c r="B242" s="142" t="s">
        <v>26</v>
      </c>
      <c r="C242" s="138" t="s">
        <v>54</v>
      </c>
      <c r="D242" s="235" t="s">
        <v>40</v>
      </c>
      <c r="E242" s="236" t="s">
        <v>123</v>
      </c>
      <c r="F242" s="236"/>
      <c r="G242" s="332" t="s">
        <v>164</v>
      </c>
      <c r="H242" s="235" t="str">
        <f>VLOOKUP(A242,'2. Status Detalhe Campos'!$A$7:$G$574,7,0)</f>
        <v>1. Concluído</v>
      </c>
      <c r="I242" s="276" t="s">
        <v>38</v>
      </c>
      <c r="J242" s="285">
        <v>45638</v>
      </c>
      <c r="K242" s="285">
        <v>45639</v>
      </c>
      <c r="L242" s="290">
        <f t="array" ref="L242">MIN(IF(W242:CI242&gt;0,$W$16:$CI$16))</f>
        <v>45639</v>
      </c>
      <c r="M242" s="291">
        <f t="array" ref="M242">MAX(IF(W242:CI242&gt;0,$W$16:$CI$16))</f>
        <v>45639</v>
      </c>
      <c r="N242" s="291"/>
      <c r="O242" s="248">
        <f>VLOOKUP(H242,Auxiliar!$B$16:$E$24,4,0)</f>
        <v>1</v>
      </c>
      <c r="P242" s="315">
        <f t="shared" ca="1" si="61"/>
        <v>1</v>
      </c>
      <c r="Q242" s="247">
        <f t="shared" ca="1" si="58"/>
        <v>0</v>
      </c>
      <c r="R242" s="381"/>
      <c r="S242" s="292" t="s">
        <v>1944</v>
      </c>
      <c r="T242" s="270">
        <v>4.0999999999999996</v>
      </c>
      <c r="U242" s="270">
        <f t="shared" si="59"/>
        <v>0.5</v>
      </c>
      <c r="V242" s="270">
        <f t="shared" si="64"/>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8"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c r="A243" s="274" t="str">
        <f t="shared" si="57"/>
        <v>PROPERTY_ENERGY_CERTIFICATENET_FLOOR_AREA</v>
      </c>
      <c r="B243" s="142" t="s">
        <v>26</v>
      </c>
      <c r="C243" s="138" t="s">
        <v>54</v>
      </c>
      <c r="D243" s="235" t="s">
        <v>40</v>
      </c>
      <c r="E243" s="236" t="s">
        <v>123</v>
      </c>
      <c r="F243" s="236"/>
      <c r="G243" s="332" t="s">
        <v>97</v>
      </c>
      <c r="H243" s="235" t="str">
        <f>VLOOKUP(A243,'2. Status Detalhe Campos'!$A$7:$G$574,7,0)</f>
        <v>1. Concluído</v>
      </c>
      <c r="I243" s="276" t="s">
        <v>38</v>
      </c>
      <c r="J243" s="285">
        <v>45638</v>
      </c>
      <c r="K243" s="285">
        <v>45639</v>
      </c>
      <c r="L243" s="290">
        <f t="array" ref="L243">MIN(IF(W243:CI243&gt;0,$W$16:$CI$16))</f>
        <v>45639</v>
      </c>
      <c r="M243" s="291">
        <f t="array" ref="M243">MAX(IF(W243:CI243&gt;0,$W$16:$CI$16))</f>
        <v>45639</v>
      </c>
      <c r="N243" s="291"/>
      <c r="O243" s="248">
        <f>VLOOKUP(H243,Auxiliar!$B$16:$E$24,4,0)</f>
        <v>1</v>
      </c>
      <c r="P243" s="315">
        <f t="shared" ca="1" si="61"/>
        <v>1</v>
      </c>
      <c r="Q243" s="247">
        <f t="shared" ca="1" si="58"/>
        <v>0</v>
      </c>
      <c r="R243" s="381"/>
      <c r="S243" s="292" t="s">
        <v>1944</v>
      </c>
      <c r="T243" s="270">
        <v>4.0999999999999996</v>
      </c>
      <c r="U243" s="270">
        <f t="shared" si="59"/>
        <v>0.5</v>
      </c>
      <c r="V243" s="270">
        <f t="shared" si="64"/>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8"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c r="A244" s="274" t="str">
        <f t="shared" si="57"/>
        <v>PROPERTY_ENERGY_CERTIFICATECADASTRAL_REGISTER_CODE</v>
      </c>
      <c r="B244" s="142" t="s">
        <v>26</v>
      </c>
      <c r="C244" s="138" t="s">
        <v>54</v>
      </c>
      <c r="D244" s="235" t="s">
        <v>40</v>
      </c>
      <c r="E244" s="236" t="s">
        <v>123</v>
      </c>
      <c r="F244" s="236"/>
      <c r="G244" s="332" t="s">
        <v>98</v>
      </c>
      <c r="H244" s="235" t="str">
        <f>VLOOKUP(A244,'2. Status Detalhe Campos'!$A$7:$G$574,7,0)</f>
        <v>1. Concluído</v>
      </c>
      <c r="I244" s="276" t="s">
        <v>38</v>
      </c>
      <c r="J244" s="285">
        <v>45638</v>
      </c>
      <c r="K244" s="285">
        <v>45639</v>
      </c>
      <c r="L244" s="290">
        <f t="array" ref="L244">MIN(IF(W244:CI244&gt;0,$W$16:$CI$16))</f>
        <v>45639</v>
      </c>
      <c r="M244" s="291">
        <f t="array" ref="M244">MAX(IF(W244:CI244&gt;0,$W$16:$CI$16))</f>
        <v>45639</v>
      </c>
      <c r="N244" s="291"/>
      <c r="O244" s="248">
        <f>VLOOKUP(H244,Auxiliar!$B$16:$E$24,4,0)</f>
        <v>1</v>
      </c>
      <c r="P244" s="315">
        <f t="shared" ca="1" si="61"/>
        <v>1</v>
      </c>
      <c r="Q244" s="247">
        <f t="shared" ca="1" si="58"/>
        <v>0</v>
      </c>
      <c r="R244" s="381"/>
      <c r="S244" s="292" t="s">
        <v>1944</v>
      </c>
      <c r="T244" s="270">
        <v>4.0999999999999996</v>
      </c>
      <c r="U244" s="270">
        <f t="shared" si="59"/>
        <v>0.5</v>
      </c>
      <c r="V244" s="270">
        <f t="shared" si="64"/>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8"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c r="A245" s="274" t="str">
        <f t="shared" si="57"/>
        <v>PROPERTY_ENERGY_CERTIFICATEDISTRICT_MUNICIP_PARISH_CODE</v>
      </c>
      <c r="B245" s="142" t="s">
        <v>26</v>
      </c>
      <c r="C245" s="138" t="s">
        <v>54</v>
      </c>
      <c r="D245" s="235" t="s">
        <v>40</v>
      </c>
      <c r="E245" s="236" t="s">
        <v>123</v>
      </c>
      <c r="F245" s="236"/>
      <c r="G245" s="332" t="s">
        <v>101</v>
      </c>
      <c r="H245" s="235" t="str">
        <f>VLOOKUP(A245,'2. Status Detalhe Campos'!$A$7:$G$574,7,0)</f>
        <v>1. Concluído</v>
      </c>
      <c r="I245" s="276" t="s">
        <v>38</v>
      </c>
      <c r="J245" s="285">
        <v>45638</v>
      </c>
      <c r="K245" s="285">
        <v>45639</v>
      </c>
      <c r="L245" s="290">
        <f t="array" ref="L245">MIN(IF(W245:CI245&gt;0,$W$16:$CI$16))</f>
        <v>45639</v>
      </c>
      <c r="M245" s="291">
        <f t="array" ref="M245">MAX(IF(W245:CI245&gt;0,$W$16:$CI$16))</f>
        <v>45639</v>
      </c>
      <c r="N245" s="291"/>
      <c r="O245" s="248">
        <f>VLOOKUP(H245,Auxiliar!$B$16:$E$24,4,0)</f>
        <v>1</v>
      </c>
      <c r="P245" s="315">
        <f t="shared" ca="1" si="61"/>
        <v>1</v>
      </c>
      <c r="Q245" s="247">
        <f t="shared" ca="1" si="58"/>
        <v>0</v>
      </c>
      <c r="R245" s="381"/>
      <c r="S245" s="292" t="s">
        <v>1944</v>
      </c>
      <c r="T245" s="270">
        <v>4.0999999999999996</v>
      </c>
      <c r="U245" s="270">
        <f t="shared" si="59"/>
        <v>0.5</v>
      </c>
      <c r="V245" s="270">
        <f t="shared" si="64"/>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8"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6.2" hidden="1" outlineLevel="1">
      <c r="A246" s="274" t="str">
        <f t="shared" si="57"/>
        <v>PROPERTY_ENERGY_CERTIFICATEPROPERTY_PURPOSE_CODE</v>
      </c>
      <c r="B246" s="142" t="s">
        <v>26</v>
      </c>
      <c r="C246" s="138" t="s">
        <v>54</v>
      </c>
      <c r="D246" s="235" t="s">
        <v>40</v>
      </c>
      <c r="E246" s="236" t="s">
        <v>123</v>
      </c>
      <c r="F246" s="236"/>
      <c r="G246" s="332" t="s">
        <v>102</v>
      </c>
      <c r="H246" s="235" t="str">
        <f>VLOOKUP(A246,'2. Status Detalhe Campos'!$A$7:$G$574,7,0)</f>
        <v>1. Concluído</v>
      </c>
      <c r="I246" s="276" t="s">
        <v>38</v>
      </c>
      <c r="J246" s="285">
        <v>45638</v>
      </c>
      <c r="K246" s="285">
        <v>45639</v>
      </c>
      <c r="L246" s="290">
        <f t="array" ref="L246">MIN(IF(W246:CI246&gt;0,$W$16:$CI$16))</f>
        <v>45639</v>
      </c>
      <c r="M246" s="291">
        <f t="array" ref="M246">MAX(IF(W246:CI246&gt;0,$W$16:$CI$16))</f>
        <v>45639</v>
      </c>
      <c r="N246" s="291"/>
      <c r="O246" s="248">
        <f>VLOOKUP(H246,Auxiliar!$B$16:$E$24,4,0)</f>
        <v>1</v>
      </c>
      <c r="P246" s="315">
        <f t="shared" ca="1" si="61"/>
        <v>1</v>
      </c>
      <c r="Q246" s="247">
        <f t="shared" ca="1" si="58"/>
        <v>0</v>
      </c>
      <c r="R246" s="381"/>
      <c r="S246" s="292" t="s">
        <v>1944</v>
      </c>
      <c r="T246" s="270">
        <v>4.0999999999999996</v>
      </c>
      <c r="U246" s="270">
        <f t="shared" si="59"/>
        <v>0.5</v>
      </c>
      <c r="V246" s="270">
        <f t="shared" si="64"/>
        <v>-0.5</v>
      </c>
      <c r="W246" s="281"/>
      <c r="X246" s="281"/>
      <c r="Y246" s="281"/>
      <c r="Z246" s="288"/>
      <c r="AA246" s="281"/>
      <c r="AB246" s="281"/>
      <c r="AC246" s="281"/>
      <c r="AD246" s="282"/>
      <c r="AE246" s="288"/>
      <c r="AF246" s="281"/>
      <c r="AG246" s="281"/>
      <c r="AH246" s="281"/>
      <c r="AI246" s="289"/>
      <c r="AJ246" s="281"/>
      <c r="AK246" s="281"/>
      <c r="AL246" s="281"/>
      <c r="AM246" s="281"/>
      <c r="AN246" s="281"/>
      <c r="AO246" s="281"/>
      <c r="AP246" s="281"/>
      <c r="AQ246" s="289"/>
      <c r="AR246" s="281"/>
      <c r="AS246" s="281"/>
      <c r="AT246" s="281"/>
      <c r="AU246" s="281"/>
      <c r="AV246" s="281"/>
      <c r="AW246" s="281"/>
      <c r="AX246" s="281"/>
      <c r="AY246" s="281"/>
      <c r="AZ246" s="281"/>
      <c r="BA246" s="281"/>
      <c r="BB246" s="281"/>
      <c r="BC246" s="281"/>
      <c r="BD246" s="281"/>
      <c r="BE246" s="281"/>
      <c r="BF246" s="281"/>
      <c r="BG246" s="283"/>
      <c r="BH246" s="288" t="s">
        <v>444</v>
      </c>
      <c r="BI246" s="281"/>
      <c r="BJ246" s="281"/>
      <c r="BK246" s="281"/>
      <c r="BL246" s="281"/>
      <c r="BM246" s="281"/>
      <c r="BN246" s="281"/>
      <c r="BO246" s="282"/>
      <c r="BP246" s="282"/>
      <c r="BQ246" s="282"/>
      <c r="BR246" s="282"/>
      <c r="BS246" s="282"/>
      <c r="BT246" s="282"/>
      <c r="BU246" s="282"/>
      <c r="BV246" s="281"/>
      <c r="BW246" s="281"/>
      <c r="BX246" s="281"/>
      <c r="BY246" s="281"/>
      <c r="BZ246" s="281"/>
      <c r="CA246" s="281"/>
      <c r="CB246" s="281"/>
      <c r="CC246" s="281"/>
      <c r="CD246" s="281"/>
      <c r="CE246" s="281"/>
      <c r="CF246" s="281"/>
      <c r="CG246" s="281"/>
      <c r="CH246" s="281"/>
      <c r="CI246" s="281"/>
    </row>
    <row r="247" spans="1:87" ht="16.2" hidden="1" outlineLevel="1">
      <c r="A247" s="274" t="str">
        <f t="shared" si="57"/>
        <v>PROPERTY_ENERGY_CERTIFICATEADDRESS_CODE</v>
      </c>
      <c r="B247" s="142" t="s">
        <v>26</v>
      </c>
      <c r="C247" s="138" t="s">
        <v>54</v>
      </c>
      <c r="D247" s="235" t="s">
        <v>40</v>
      </c>
      <c r="E247" s="236" t="s">
        <v>123</v>
      </c>
      <c r="F247" s="236"/>
      <c r="G247" s="332" t="s">
        <v>104</v>
      </c>
      <c r="H247" s="235" t="str">
        <f>VLOOKUP(A247,'2. Status Detalhe Campos'!$A$7:$G$574,7,0)</f>
        <v>1. Concluído</v>
      </c>
      <c r="I247" s="276" t="s">
        <v>38</v>
      </c>
      <c r="J247" s="285">
        <v>45638</v>
      </c>
      <c r="K247" s="285">
        <v>45639</v>
      </c>
      <c r="L247" s="290">
        <f t="array" ref="L247">MIN(IF(W247:CI247&gt;0,$W$16:$CI$16))</f>
        <v>45639</v>
      </c>
      <c r="M247" s="291">
        <f t="array" ref="M247">MAX(IF(W247:CI247&gt;0,$W$16:$CI$16))</f>
        <v>45639</v>
      </c>
      <c r="N247" s="291"/>
      <c r="O247" s="248">
        <f>VLOOKUP(H247,Auxiliar!$B$16:$E$24,4,0)</f>
        <v>1</v>
      </c>
      <c r="P247" s="315">
        <f t="shared" ca="1" si="61"/>
        <v>1</v>
      </c>
      <c r="Q247" s="247">
        <f t="shared" ca="1" si="58"/>
        <v>0</v>
      </c>
      <c r="R247" s="381"/>
      <c r="S247" s="292" t="s">
        <v>1944</v>
      </c>
      <c r="T247" s="270">
        <v>4.0999999999999996</v>
      </c>
      <c r="U247" s="270">
        <f t="shared" si="59"/>
        <v>0.5</v>
      </c>
      <c r="V247" s="270">
        <f t="shared" si="64"/>
        <v>-0.5</v>
      </c>
      <c r="W247" s="281"/>
      <c r="X247" s="281"/>
      <c r="Y247" s="281"/>
      <c r="Z247" s="288"/>
      <c r="AA247" s="281"/>
      <c r="AB247" s="281"/>
      <c r="AC247" s="281"/>
      <c r="AD247" s="282"/>
      <c r="AE247" s="288"/>
      <c r="AF247" s="281"/>
      <c r="AG247" s="281"/>
      <c r="AH247" s="281"/>
      <c r="AI247" s="289"/>
      <c r="AJ247" s="281"/>
      <c r="AK247" s="281"/>
      <c r="AL247" s="281"/>
      <c r="AM247" s="281"/>
      <c r="AN247" s="281"/>
      <c r="AO247" s="281"/>
      <c r="AP247" s="281"/>
      <c r="AQ247" s="289"/>
      <c r="AR247" s="281"/>
      <c r="AS247" s="281"/>
      <c r="AT247" s="281"/>
      <c r="AU247" s="281"/>
      <c r="AV247" s="281"/>
      <c r="AW247" s="281"/>
      <c r="AX247" s="281"/>
      <c r="AY247" s="281"/>
      <c r="AZ247" s="281"/>
      <c r="BA247" s="281"/>
      <c r="BB247" s="281"/>
      <c r="BC247" s="281"/>
      <c r="BD247" s="281"/>
      <c r="BE247" s="281"/>
      <c r="BF247" s="281"/>
      <c r="BG247" s="283"/>
      <c r="BH247" s="288" t="s">
        <v>444</v>
      </c>
      <c r="BI247" s="281"/>
      <c r="BJ247" s="281"/>
      <c r="BK247" s="281"/>
      <c r="BL247" s="281"/>
      <c r="BM247" s="281"/>
      <c r="BN247" s="281"/>
      <c r="BO247" s="282"/>
      <c r="BP247" s="282"/>
      <c r="BQ247" s="282"/>
      <c r="BR247" s="282"/>
      <c r="BS247" s="282"/>
      <c r="BT247" s="282"/>
      <c r="BU247" s="282"/>
      <c r="BV247" s="281"/>
      <c r="BW247" s="281"/>
      <c r="BX247" s="281"/>
      <c r="BY247" s="281"/>
      <c r="BZ247" s="281"/>
      <c r="CA247" s="281"/>
      <c r="CB247" s="281"/>
      <c r="CC247" s="281"/>
      <c r="CD247" s="281"/>
      <c r="CE247" s="281"/>
      <c r="CF247" s="281"/>
      <c r="CG247" s="281"/>
      <c r="CH247" s="281"/>
      <c r="CI247" s="281"/>
    </row>
    <row r="248" spans="1:87" ht="16.2" hidden="1" outlineLevel="1">
      <c r="A248" s="274" t="str">
        <f t="shared" si="57"/>
        <v>PROPERTY_ENERGY_CERTIFICATEFLOOR_NUMBER</v>
      </c>
      <c r="B248" s="142" t="s">
        <v>26</v>
      </c>
      <c r="C248" s="138" t="s">
        <v>54</v>
      </c>
      <c r="D248" s="235" t="s">
        <v>40</v>
      </c>
      <c r="E248" s="236" t="s">
        <v>123</v>
      </c>
      <c r="F248" s="236"/>
      <c r="G248" s="332" t="s">
        <v>111</v>
      </c>
      <c r="H248" s="235" t="str">
        <f>VLOOKUP(A248,'2. Status Detalhe Campos'!$A$7:$G$574,7,0)</f>
        <v>1. Concluído</v>
      </c>
      <c r="I248" s="276" t="s">
        <v>38</v>
      </c>
      <c r="J248" s="285">
        <v>45638</v>
      </c>
      <c r="K248" s="285">
        <v>45639</v>
      </c>
      <c r="L248" s="290">
        <f t="array" ref="L248">MIN(IF(W248:CI248&gt;0,$W$16:$CI$16))</f>
        <v>45639</v>
      </c>
      <c r="M248" s="291">
        <f t="array" ref="M248">MAX(IF(W248:CI248&gt;0,$W$16:$CI$16))</f>
        <v>45639</v>
      </c>
      <c r="N248" s="291"/>
      <c r="O248" s="248">
        <f>VLOOKUP(H248,Auxiliar!$B$16:$E$24,4,0)</f>
        <v>1</v>
      </c>
      <c r="P248" s="315">
        <f t="shared" ca="1" si="61"/>
        <v>1</v>
      </c>
      <c r="Q248" s="247">
        <f t="shared" ca="1" si="58"/>
        <v>0</v>
      </c>
      <c r="R248" s="381"/>
      <c r="S248" s="292" t="s">
        <v>1944</v>
      </c>
      <c r="T248" s="270">
        <v>4.0999999999999996</v>
      </c>
      <c r="U248" s="270">
        <f t="shared" si="59"/>
        <v>0.5</v>
      </c>
      <c r="V248" s="270">
        <f t="shared" si="64"/>
        <v>-0.5</v>
      </c>
      <c r="W248" s="281"/>
      <c r="X248" s="281"/>
      <c r="Y248" s="281"/>
      <c r="Z248" s="288"/>
      <c r="AA248" s="281"/>
      <c r="AB248" s="281"/>
      <c r="AC248" s="281"/>
      <c r="AD248" s="282"/>
      <c r="AE248" s="288"/>
      <c r="AF248" s="281"/>
      <c r="AG248" s="281"/>
      <c r="AH248" s="281"/>
      <c r="AI248" s="289"/>
      <c r="AJ248" s="281"/>
      <c r="AK248" s="281"/>
      <c r="AL248" s="281"/>
      <c r="AM248" s="281"/>
      <c r="AN248" s="281"/>
      <c r="AO248" s="281"/>
      <c r="AP248" s="281"/>
      <c r="AQ248" s="289"/>
      <c r="AR248" s="281"/>
      <c r="AS248" s="281"/>
      <c r="AT248" s="281"/>
      <c r="AU248" s="281"/>
      <c r="AV248" s="281"/>
      <c r="AW248" s="281"/>
      <c r="AX248" s="281"/>
      <c r="AY248" s="281"/>
      <c r="AZ248" s="281"/>
      <c r="BA248" s="281"/>
      <c r="BB248" s="281"/>
      <c r="BC248" s="281"/>
      <c r="BD248" s="281"/>
      <c r="BE248" s="281"/>
      <c r="BF248" s="281"/>
      <c r="BG248" s="283"/>
      <c r="BH248" s="288" t="s">
        <v>444</v>
      </c>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c r="CI248" s="281"/>
    </row>
    <row r="249" spans="1:87" ht="16.2" hidden="1" outlineLevel="1">
      <c r="A249" s="274" t="str">
        <f t="shared" si="57"/>
        <v>PROPERTY_ENERGY_CERTIFICATELOCALITY</v>
      </c>
      <c r="B249" s="142" t="s">
        <v>26</v>
      </c>
      <c r="C249" s="138" t="s">
        <v>54</v>
      </c>
      <c r="D249" s="235" t="s">
        <v>40</v>
      </c>
      <c r="E249" s="236" t="s">
        <v>123</v>
      </c>
      <c r="F249" s="236"/>
      <c r="G249" s="332" t="s">
        <v>112</v>
      </c>
      <c r="H249" s="235" t="str">
        <f>VLOOKUP(A249,'2. Status Detalhe Campos'!$A$7:$G$574,7,0)</f>
        <v>1. Concluído</v>
      </c>
      <c r="I249" s="276" t="s">
        <v>38</v>
      </c>
      <c r="J249" s="285">
        <v>45638</v>
      </c>
      <c r="K249" s="285">
        <v>45639</v>
      </c>
      <c r="L249" s="290">
        <f t="array" ref="L249">MIN(IF(W249:CI249&gt;0,$W$16:$CI$16))</f>
        <v>45639</v>
      </c>
      <c r="M249" s="291">
        <f t="array" ref="M249">MAX(IF(W249:CI249&gt;0,$W$16:$CI$16))</f>
        <v>45639</v>
      </c>
      <c r="N249" s="291"/>
      <c r="O249" s="248">
        <f>VLOOKUP(H249,Auxiliar!$B$16:$E$24,4,0)</f>
        <v>1</v>
      </c>
      <c r="P249" s="315">
        <f t="shared" ca="1" si="61"/>
        <v>1</v>
      </c>
      <c r="Q249" s="247">
        <f t="shared" ca="1" si="58"/>
        <v>0</v>
      </c>
      <c r="R249" s="381"/>
      <c r="S249" s="292" t="s">
        <v>1944</v>
      </c>
      <c r="T249" s="270">
        <v>4.0999999999999996</v>
      </c>
      <c r="U249" s="270">
        <f t="shared" si="59"/>
        <v>0.5</v>
      </c>
      <c r="V249" s="270">
        <f t="shared" si="64"/>
        <v>-0.5</v>
      </c>
      <c r="W249" s="281"/>
      <c r="X249" s="281"/>
      <c r="Y249" s="281"/>
      <c r="Z249" s="288"/>
      <c r="AA249" s="281"/>
      <c r="AB249" s="281"/>
      <c r="AC249" s="281"/>
      <c r="AD249" s="282"/>
      <c r="AE249" s="288"/>
      <c r="AF249" s="281"/>
      <c r="AG249" s="281"/>
      <c r="AH249" s="281"/>
      <c r="AI249" s="289"/>
      <c r="AJ249" s="281"/>
      <c r="AK249" s="281"/>
      <c r="AL249" s="281"/>
      <c r="AM249" s="281"/>
      <c r="AN249" s="281"/>
      <c r="AO249" s="281"/>
      <c r="AP249" s="281"/>
      <c r="AQ249" s="289"/>
      <c r="AR249" s="281"/>
      <c r="AS249" s="281"/>
      <c r="AT249" s="281"/>
      <c r="AU249" s="281"/>
      <c r="AV249" s="281"/>
      <c r="AW249" s="281"/>
      <c r="AX249" s="281"/>
      <c r="AY249" s="281"/>
      <c r="AZ249" s="281"/>
      <c r="BA249" s="281"/>
      <c r="BB249" s="281"/>
      <c r="BC249" s="281"/>
      <c r="BD249" s="281"/>
      <c r="BE249" s="281"/>
      <c r="BF249" s="281"/>
      <c r="BG249" s="283"/>
      <c r="BH249" s="288" t="s">
        <v>444</v>
      </c>
      <c r="BI249" s="281"/>
      <c r="BJ249" s="281"/>
      <c r="BK249" s="281"/>
      <c r="BL249" s="281"/>
      <c r="BM249" s="281"/>
      <c r="BN249" s="281"/>
      <c r="BO249" s="282"/>
      <c r="BP249" s="282"/>
      <c r="BQ249" s="282"/>
      <c r="BR249" s="282"/>
      <c r="BS249" s="282"/>
      <c r="BT249" s="282"/>
      <c r="BU249" s="282"/>
      <c r="BV249" s="281"/>
      <c r="BW249" s="281"/>
      <c r="BX249" s="281"/>
      <c r="BY249" s="281"/>
      <c r="BZ249" s="281"/>
      <c r="CA249" s="281"/>
      <c r="CB249" s="281"/>
      <c r="CC249" s="281"/>
      <c r="CD249" s="281"/>
      <c r="CE249" s="281"/>
      <c r="CF249" s="281"/>
      <c r="CG249" s="281"/>
      <c r="CH249" s="281"/>
      <c r="CI249" s="281"/>
    </row>
    <row r="250" spans="1:87" ht="15" customHeight="1" collapsed="1">
      <c r="A250" s="274"/>
      <c r="B250" s="142" t="s">
        <v>26</v>
      </c>
      <c r="C250" s="138" t="s">
        <v>34</v>
      </c>
      <c r="D250" s="134"/>
      <c r="E250" s="241" t="s">
        <v>2008</v>
      </c>
      <c r="F250" s="239" t="s">
        <v>1972</v>
      </c>
      <c r="G250" s="255" t="s">
        <v>1951</v>
      </c>
      <c r="H250" s="275" t="s">
        <v>2009</v>
      </c>
      <c r="I250" s="278" t="s">
        <v>38</v>
      </c>
      <c r="J250" s="278">
        <v>45645</v>
      </c>
      <c r="K250" s="276"/>
      <c r="L250" s="279">
        <f t="array" ref="L250">MIN(IF(W250:CI250&gt;0,$W$16:$CI$16))</f>
        <v>45671</v>
      </c>
      <c r="M250" s="310">
        <f t="array" ref="M250">MAX(IF(W250:CI250&gt;0,$W$16:$CI$16))</f>
        <v>45674</v>
      </c>
      <c r="N250" s="323">
        <f t="array" ref="N250">MAX(IF(W250:CI250&gt;0,$W$16:$CI$16))</f>
        <v>45674</v>
      </c>
      <c r="O250" s="316">
        <v>0</v>
      </c>
      <c r="P250" s="316">
        <v>0</v>
      </c>
      <c r="Q250" s="247">
        <f>O250-P250</f>
        <v>0</v>
      </c>
      <c r="R250" s="380" t="s">
        <v>2061</v>
      </c>
      <c r="S250" s="280"/>
      <c r="T250" s="270"/>
      <c r="U250" s="270"/>
      <c r="V250" s="270"/>
      <c r="W250" s="281"/>
      <c r="X250" s="281"/>
      <c r="Y250" s="281"/>
      <c r="Z250" s="281"/>
      <c r="AA250" s="281"/>
      <c r="AB250" s="281"/>
      <c r="AC250" s="281"/>
      <c r="AD250" s="282"/>
      <c r="AE250" s="281"/>
      <c r="AF250" s="281"/>
      <c r="AG250" s="281"/>
      <c r="AH250" s="281"/>
      <c r="AI250" s="289"/>
      <c r="AJ250" s="281"/>
      <c r="AK250" s="281"/>
      <c r="AL250" s="281"/>
      <c r="AM250" s="281"/>
      <c r="AN250" s="281"/>
      <c r="AO250" s="281"/>
      <c r="AP250" s="281"/>
      <c r="AQ250" s="281"/>
      <c r="AR250" s="281"/>
      <c r="AS250" s="281"/>
      <c r="AT250" s="281"/>
      <c r="AU250" s="281"/>
      <c r="AV250" s="281"/>
      <c r="AW250" s="283"/>
      <c r="AX250" s="281"/>
      <c r="AY250" s="281"/>
      <c r="AZ250" s="281"/>
      <c r="BA250" s="283"/>
      <c r="BB250" s="281"/>
      <c r="BC250" s="281"/>
      <c r="BD250" s="281"/>
      <c r="BE250" s="281"/>
      <c r="BF250" s="281"/>
      <c r="BG250" s="281"/>
      <c r="BH250" s="281"/>
      <c r="BI250" s="281"/>
      <c r="BJ250" s="281"/>
      <c r="BK250" s="281"/>
      <c r="BL250" s="283"/>
      <c r="BM250" s="281"/>
      <c r="BN250" s="281"/>
      <c r="BO250" s="282"/>
      <c r="BP250" s="282"/>
      <c r="BQ250" s="282"/>
      <c r="BR250" s="282"/>
      <c r="BS250" s="282"/>
      <c r="BT250" s="282"/>
      <c r="BU250" s="282"/>
      <c r="BV250" s="281"/>
      <c r="BW250" s="281"/>
      <c r="BX250" s="281"/>
      <c r="BY250" s="281"/>
      <c r="BZ250" s="281"/>
      <c r="CA250" s="281"/>
      <c r="CB250" s="281"/>
      <c r="CC250" s="281"/>
      <c r="CD250" s="281">
        <v>1</v>
      </c>
      <c r="CE250" s="281">
        <v>1</v>
      </c>
      <c r="CF250" s="281"/>
      <c r="CG250" s="281" t="s">
        <v>444</v>
      </c>
      <c r="CH250" s="281"/>
      <c r="CI250" s="281"/>
    </row>
    <row r="251" spans="1:87" ht="15" customHeight="1">
      <c r="A251" s="274" t="str">
        <f>E251&amp;G251</f>
        <v>munichRetbd</v>
      </c>
      <c r="B251" s="142" t="s">
        <v>26</v>
      </c>
      <c r="C251" s="138" t="s">
        <v>181</v>
      </c>
      <c r="D251" s="134" t="s">
        <v>40</v>
      </c>
      <c r="E251" s="241" t="s">
        <v>1950</v>
      </c>
      <c r="F251" s="239" t="s">
        <v>1972</v>
      </c>
      <c r="G251" s="255" t="s">
        <v>1951</v>
      </c>
      <c r="H251" s="275" t="s">
        <v>2009</v>
      </c>
      <c r="I251" s="278">
        <v>45574</v>
      </c>
      <c r="J251" s="378">
        <v>45631</v>
      </c>
      <c r="K251" s="276"/>
      <c r="L251" s="279">
        <f t="array" ref="L251">MIN(IF(W251:CI251&gt;0,$W$16:$CI$16))</f>
        <v>45677</v>
      </c>
      <c r="M251" s="310">
        <f t="array" ref="M251">MAX(IF(W251:CI251&gt;0,$W$16:$CI$16))</f>
        <v>45678</v>
      </c>
      <c r="N251" s="323">
        <f t="array" ref="N251">MAX(IF(W251:CI251&gt;0,$W$16:$CI$16))</f>
        <v>45678</v>
      </c>
      <c r="O251" s="316">
        <v>0</v>
      </c>
      <c r="P251" s="316">
        <f ca="1">IF(TODAY()&lt;=L251,0,MIN((TODAY()-L251)/(M251-L251+1),100%))</f>
        <v>0</v>
      </c>
      <c r="Q251" s="247">
        <f ca="1">O251-P251</f>
        <v>0</v>
      </c>
      <c r="R251" s="262" t="s">
        <v>2048</v>
      </c>
      <c r="S251" s="280"/>
      <c r="T251" s="270"/>
      <c r="U251" s="270"/>
      <c r="V251" s="270"/>
      <c r="W251" s="281"/>
      <c r="X251" s="281"/>
      <c r="Y251" s="281"/>
      <c r="Z251" s="281"/>
      <c r="AA251" s="281"/>
      <c r="AB251" s="281"/>
      <c r="AC251" s="281"/>
      <c r="AD251" s="282"/>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c r="BA251" s="297"/>
      <c r="BB251" s="283"/>
      <c r="BC251" s="281"/>
      <c r="BD251" s="281"/>
      <c r="BE251" s="281"/>
      <c r="BF251" s="281"/>
      <c r="BG251" s="281"/>
      <c r="BH251" s="281"/>
      <c r="BI251" s="281"/>
      <c r="BJ251" s="281"/>
      <c r="BK251" s="281"/>
      <c r="BL251" s="281"/>
      <c r="BM251" s="281"/>
      <c r="BN251" s="281"/>
      <c r="BO251" s="282"/>
      <c r="BP251" s="282"/>
      <c r="BQ251" s="282"/>
      <c r="BR251" s="282"/>
      <c r="BS251" s="282"/>
      <c r="BT251" s="282"/>
      <c r="BU251" s="282"/>
      <c r="BV251" s="281"/>
      <c r="BW251" s="281"/>
      <c r="BX251" s="281"/>
      <c r="BY251" s="281"/>
      <c r="BZ251" s="281"/>
      <c r="CA251" s="281"/>
      <c r="CB251" s="281"/>
      <c r="CC251" s="281"/>
      <c r="CD251" s="281"/>
      <c r="CE251" s="281"/>
      <c r="CF251" s="281"/>
      <c r="CG251" s="281"/>
      <c r="CH251" s="281">
        <v>1</v>
      </c>
      <c r="CI251" s="281">
        <v>1</v>
      </c>
    </row>
    <row r="252" spans="1:87" ht="15" customHeight="1">
      <c r="A252" s="274"/>
      <c r="B252" s="142" t="s">
        <v>26</v>
      </c>
      <c r="C252" s="138" t="s">
        <v>1970</v>
      </c>
      <c r="D252" s="134"/>
      <c r="E252" s="241" t="s">
        <v>1952</v>
      </c>
      <c r="F252" s="137"/>
      <c r="G252" s="334"/>
      <c r="H252" s="134"/>
      <c r="I252" s="276"/>
      <c r="J252" s="285"/>
      <c r="K252" s="276"/>
      <c r="L252" s="311"/>
      <c r="M252" s="311"/>
      <c r="N252" s="311"/>
      <c r="O252" s="247"/>
      <c r="P252" s="247"/>
      <c r="Q252" s="247"/>
      <c r="R252" s="261"/>
      <c r="S252" s="280"/>
      <c r="T252" s="270">
        <f>SUM(T204:T251)*0.3</f>
        <v>46.139999999999965</v>
      </c>
      <c r="U252" s="270">
        <f>ROUND(T252/8,1)</f>
        <v>5.8</v>
      </c>
      <c r="V252" s="270"/>
      <c r="W252" s="281"/>
      <c r="X252" s="281"/>
      <c r="Y252" s="281"/>
      <c r="Z252" s="281"/>
      <c r="AA252" s="281"/>
      <c r="AB252" s="281"/>
      <c r="AC252" s="281"/>
      <c r="AD252" s="282"/>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c r="BA252" s="281"/>
      <c r="BB252" s="281"/>
      <c r="BC252" s="281"/>
      <c r="BD252" s="281"/>
      <c r="BE252" s="281"/>
      <c r="BF252" s="281"/>
      <c r="BG252" s="281"/>
      <c r="BH252" s="281"/>
      <c r="BI252" s="281"/>
      <c r="BJ252" s="281"/>
      <c r="BK252" s="281"/>
      <c r="BL252" s="281"/>
      <c r="BM252" s="281"/>
      <c r="BN252" s="281"/>
      <c r="BO252" s="282"/>
      <c r="BP252" s="282"/>
      <c r="BQ252" s="282"/>
      <c r="BR252" s="282"/>
      <c r="BS252" s="282"/>
      <c r="BT252" s="282"/>
      <c r="BU252" s="282"/>
      <c r="BV252" s="281"/>
      <c r="BW252" s="281"/>
      <c r="BX252" s="281"/>
      <c r="BY252" s="281"/>
      <c r="BZ252" s="281"/>
      <c r="CA252" s="281"/>
      <c r="CB252" s="281"/>
      <c r="CC252" s="281"/>
      <c r="CD252" s="281"/>
      <c r="CE252" s="281"/>
      <c r="CF252" s="281"/>
      <c r="CG252" s="281"/>
      <c r="CH252" s="281"/>
      <c r="CI252" s="281"/>
    </row>
  </sheetData>
  <autoFilter ref="A16:CO252"/>
  <conditionalFormatting sqref="V17:V83 V94 V88:V92 V96:V101 V138:V139 V134 V106:V130 V164:V166 V141:V162 V169:V252">
    <cfRule type="cellIs" dxfId="52" priority="103" operator="notEqual">
      <formula>0</formula>
    </cfRule>
  </conditionalFormatting>
  <conditionalFormatting sqref="W17:CI82 BI83:BL83 W83:BG83 W96:CI101 W134:CI134 BN83:CA83 W88:CI92 W94:CI94 W106:CI130 W151:BC152 BE152:BK152 W153:BD153 BF153:BK153 W192:BG195 BI192:CI195 CC83:CI83 W150:BG150 BO150:CF150 BJ150:BM150 W197:CI252 W158:CI162 W164:CI164 BE151:CF151 BL152:CF153 W187:CI191 W186:BK186 BM186:CI186 W138:CF139 CB140:CF140 W142:CF149 W154:CF156 CH138:CI157 CC141:CF141 W141:CA141 W169:CI185 W166:CI166 W165:BL165 BN165:CI165 W157:BL157 BN157:CF157 W196:BM196 BO196:CI196">
    <cfRule type="cellIs" dxfId="51" priority="90" operator="greaterThan">
      <formula>0</formula>
    </cfRule>
  </conditionalFormatting>
  <conditionalFormatting sqref="Y6:CI6 Y9:CI10">
    <cfRule type="cellIs" dxfId="50" priority="102" operator="notEqual">
      <formula>0</formula>
    </cfRule>
  </conditionalFormatting>
  <conditionalFormatting sqref="AO50:BT50">
    <cfRule type="cellIs" dxfId="49" priority="92" operator="greaterThan">
      <formula>0</formula>
    </cfRule>
  </conditionalFormatting>
  <conditionalFormatting sqref="AO70:BT73 BU70:CI75 AP74:AT74">
    <cfRule type="cellIs" dxfId="48" priority="47" operator="greaterThan">
      <formula>0</formula>
    </cfRule>
  </conditionalFormatting>
  <conditionalFormatting sqref="AO88:CI88">
    <cfRule type="cellIs" dxfId="47" priority="89" operator="greaterThan">
      <formula>0</formula>
    </cfRule>
  </conditionalFormatting>
  <conditionalFormatting sqref="BB216">
    <cfRule type="cellIs" dxfId="46" priority="55" operator="greaterThan">
      <formula>0</formula>
    </cfRule>
  </conditionalFormatting>
  <conditionalFormatting sqref="BU89:CI90">
    <cfRule type="cellIs" dxfId="45" priority="101" operator="greaterThan">
      <formula>0</formula>
    </cfRule>
  </conditionalFormatting>
  <conditionalFormatting sqref="V84 V86:V87">
    <cfRule type="cellIs" dxfId="44" priority="44" operator="notEqual">
      <formula>0</formula>
    </cfRule>
  </conditionalFormatting>
  <conditionalFormatting sqref="W84:BD84 BF84:CI84 W87:CI87">
    <cfRule type="cellIs" dxfId="43" priority="43" operator="greaterThan">
      <formula>0</formula>
    </cfRule>
  </conditionalFormatting>
  <conditionalFormatting sqref="V85">
    <cfRule type="cellIs" dxfId="42" priority="42" operator="notEqual">
      <formula>0</formula>
    </cfRule>
  </conditionalFormatting>
  <conditionalFormatting sqref="W85:BD85 BF85:CI85">
    <cfRule type="cellIs" dxfId="41" priority="41" operator="greaterThan">
      <formula>0</formula>
    </cfRule>
  </conditionalFormatting>
  <conditionalFormatting sqref="V93">
    <cfRule type="cellIs" dxfId="40" priority="40" operator="notEqual">
      <formula>0</formula>
    </cfRule>
  </conditionalFormatting>
  <conditionalFormatting sqref="W93:BG93 BI93:CI93">
    <cfRule type="cellIs" dxfId="39" priority="39" operator="greaterThan">
      <formula>0</formula>
    </cfRule>
  </conditionalFormatting>
  <conditionalFormatting sqref="V95">
    <cfRule type="cellIs" dxfId="38" priority="38" operator="notEqual">
      <formula>0</formula>
    </cfRule>
  </conditionalFormatting>
  <conditionalFormatting sqref="W95:BD95 BF95:BG95 BI95:CI95">
    <cfRule type="cellIs" dxfId="37" priority="37" operator="greaterThan">
      <formula>0</formula>
    </cfRule>
  </conditionalFormatting>
  <conditionalFormatting sqref="BE84">
    <cfRule type="cellIs" dxfId="36" priority="36" operator="greaterThan">
      <formula>0</formula>
    </cfRule>
  </conditionalFormatting>
  <conditionalFormatting sqref="BE85">
    <cfRule type="cellIs" dxfId="35" priority="35" operator="greaterThan">
      <formula>0</formula>
    </cfRule>
  </conditionalFormatting>
  <conditionalFormatting sqref="BE95">
    <cfRule type="cellIs" dxfId="34" priority="34" operator="greaterThan">
      <formula>0</formula>
    </cfRule>
  </conditionalFormatting>
  <conditionalFormatting sqref="BH93">
    <cfRule type="cellIs" dxfId="33" priority="33" operator="greaterThan">
      <formula>0</formula>
    </cfRule>
  </conditionalFormatting>
  <conditionalFormatting sqref="BH95">
    <cfRule type="cellIs" dxfId="32" priority="32" operator="greaterThan">
      <formula>0</formula>
    </cfRule>
  </conditionalFormatting>
  <conditionalFormatting sqref="W86:CI86">
    <cfRule type="cellIs" dxfId="31" priority="31" operator="greaterThan">
      <formula>0</formula>
    </cfRule>
  </conditionalFormatting>
  <conditionalFormatting sqref="BH83">
    <cfRule type="cellIs" dxfId="30" priority="30" operator="greaterThan">
      <formula>0</formula>
    </cfRule>
  </conditionalFormatting>
  <conditionalFormatting sqref="W103:BG103 BI103:CI103">
    <cfRule type="cellIs" dxfId="29" priority="28" operator="greaterThan">
      <formula>0</formula>
    </cfRule>
  </conditionalFormatting>
  <conditionalFormatting sqref="V103">
    <cfRule type="cellIs" dxfId="28" priority="29" operator="notEqual">
      <formula>0</formula>
    </cfRule>
  </conditionalFormatting>
  <conditionalFormatting sqref="V105">
    <cfRule type="cellIs" dxfId="27" priority="27" operator="notEqual">
      <formula>0</formula>
    </cfRule>
  </conditionalFormatting>
  <conditionalFormatting sqref="W105:CI105">
    <cfRule type="cellIs" dxfId="26" priority="26" operator="greaterThan">
      <formula>0</formula>
    </cfRule>
  </conditionalFormatting>
  <conditionalFormatting sqref="V102">
    <cfRule type="cellIs" dxfId="25" priority="25" operator="notEqual">
      <formula>0</formula>
    </cfRule>
  </conditionalFormatting>
  <conditionalFormatting sqref="W102:CI102">
    <cfRule type="cellIs" dxfId="24" priority="24" operator="greaterThan">
      <formula>0</formula>
    </cfRule>
  </conditionalFormatting>
  <conditionalFormatting sqref="V104">
    <cfRule type="cellIs" dxfId="23" priority="23" operator="notEqual">
      <formula>0</formula>
    </cfRule>
  </conditionalFormatting>
  <conditionalFormatting sqref="W104:CI104">
    <cfRule type="cellIs" dxfId="22" priority="22" operator="greaterThan">
      <formula>0</formula>
    </cfRule>
  </conditionalFormatting>
  <conditionalFormatting sqref="BH103">
    <cfRule type="cellIs" dxfId="21" priority="21" operator="greaterThan">
      <formula>0</formula>
    </cfRule>
  </conditionalFormatting>
  <conditionalFormatting sqref="V136:V137">
    <cfRule type="cellIs" dxfId="20" priority="20" operator="notEqual">
      <formula>0</formula>
    </cfRule>
  </conditionalFormatting>
  <conditionalFormatting sqref="W136:CI137">
    <cfRule type="cellIs" dxfId="19" priority="19" operator="greaterThan">
      <formula>0</formula>
    </cfRule>
  </conditionalFormatting>
  <conditionalFormatting sqref="V135">
    <cfRule type="cellIs" dxfId="18" priority="18" operator="notEqual">
      <formula>0</formula>
    </cfRule>
  </conditionalFormatting>
  <conditionalFormatting sqref="W135:CI135">
    <cfRule type="cellIs" dxfId="17" priority="17" operator="greaterThan">
      <formula>0</formula>
    </cfRule>
  </conditionalFormatting>
  <conditionalFormatting sqref="V132:V133">
    <cfRule type="cellIs" dxfId="16" priority="16" operator="notEqual">
      <formula>0</formula>
    </cfRule>
  </conditionalFormatting>
  <conditionalFormatting sqref="W132:CI133">
    <cfRule type="cellIs" dxfId="15" priority="15" operator="greaterThan">
      <formula>0</formula>
    </cfRule>
  </conditionalFormatting>
  <conditionalFormatting sqref="V131">
    <cfRule type="cellIs" dxfId="14" priority="14" operator="notEqual">
      <formula>0</formula>
    </cfRule>
  </conditionalFormatting>
  <conditionalFormatting sqref="W131:CI131">
    <cfRule type="cellIs" dxfId="13" priority="13" operator="greaterThan">
      <formula>0</formula>
    </cfRule>
  </conditionalFormatting>
  <conditionalFormatting sqref="BM83">
    <cfRule type="cellIs" dxfId="12" priority="12" operator="greaterThan">
      <formula>0</formula>
    </cfRule>
  </conditionalFormatting>
  <conditionalFormatting sqref="CB83">
    <cfRule type="cellIs" dxfId="11" priority="11" operator="greaterThan">
      <formula>0</formula>
    </cfRule>
  </conditionalFormatting>
  <conditionalFormatting sqref="V163">
    <cfRule type="cellIs" dxfId="10" priority="10" operator="notEqual">
      <formula>0</formula>
    </cfRule>
  </conditionalFormatting>
  <conditionalFormatting sqref="W163:CI163">
    <cfRule type="cellIs" dxfId="9" priority="9" operator="greaterThan">
      <formula>0</formula>
    </cfRule>
  </conditionalFormatting>
  <conditionalFormatting sqref="V140">
    <cfRule type="cellIs" dxfId="8" priority="7" operator="notEqual">
      <formula>0</formula>
    </cfRule>
  </conditionalFormatting>
  <conditionalFormatting sqref="W140:CA140">
    <cfRule type="cellIs" dxfId="7" priority="6" operator="greaterThan">
      <formula>0</formula>
    </cfRule>
  </conditionalFormatting>
  <conditionalFormatting sqref="CG138:CG157">
    <cfRule type="cellIs" dxfId="6" priority="5" operator="greaterThan">
      <formula>0</formula>
    </cfRule>
  </conditionalFormatting>
  <conditionalFormatting sqref="V168">
    <cfRule type="cellIs" dxfId="5" priority="4" operator="notEqual">
      <formula>0</formula>
    </cfRule>
  </conditionalFormatting>
  <conditionalFormatting sqref="W168:CI168">
    <cfRule type="cellIs" dxfId="4" priority="3" operator="greaterThan">
      <formula>0</formula>
    </cfRule>
  </conditionalFormatting>
  <conditionalFormatting sqref="V167">
    <cfRule type="cellIs" dxfId="3" priority="2" operator="notEqual">
      <formula>0</formula>
    </cfRule>
  </conditionalFormatting>
  <conditionalFormatting sqref="W167:CI167">
    <cfRule type="cellIs" dxfId="2"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1953</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1954</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1955</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1956</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1957</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1958</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1959</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1960</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1961</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1961</v>
      </c>
      <c r="C19" s="231" t="s">
        <v>1959</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1961</v>
      </c>
      <c r="C20" s="231" t="s">
        <v>1960</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1961</v>
      </c>
      <c r="C21" s="231" t="s">
        <v>1962</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1961</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1963</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1959</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1960</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1962</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1964</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1959</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1965</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1966</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1959</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1967</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1992</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1958</v>
      </c>
      <c r="C37" s="137" t="s">
        <v>1968</v>
      </c>
      <c r="D37" s="227" t="s">
        <v>1969</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AAA335-33FC-43F6-B758-4189E316609B}">
  <ds:schemaRefs>
    <ds:schemaRef ds:uri="http://schemas.microsoft.com/office/2006/metadata/properties"/>
    <ds:schemaRef ds:uri="http://schemas.openxmlformats.org/package/2006/metadata/core-properties"/>
    <ds:schemaRef ds:uri="6ea7b29d-57ec-408d-9ea9-cf73b04f66d5"/>
    <ds:schemaRef ds:uri="http://purl.org/dc/dcmitype/"/>
    <ds:schemaRef ds:uri="http://schemas.microsoft.com/sharepoint/v3"/>
    <ds:schemaRef ds:uri="0683c779-04fc-4b63-89c9-6c25ffa1c0a4"/>
    <ds:schemaRef ds:uri="http://schemas.microsoft.com/office/2006/documentManagement/types"/>
    <ds:schemaRef ds:uri="http://www.w3.org/XML/1998/namespace"/>
    <ds:schemaRef ds:uri="http://purl.org/dc/elements/1.1/"/>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AA3D052C-2D3F-4DF0-8735-09AE8D252BD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2025-01-12T11:31:35Z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