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64" r:id="rId12"/>
    <pivotCache cacheId="267" r:id="rId13"/>
    <pivotCache cacheId="270" r:id="rId14"/>
    <pivotCache cacheId="273" r:id="rId15"/>
    <pivotCache cacheId="276" r:id="rId16"/>
    <pivotCache cacheId="279" r:id="rId17"/>
    <pivotCache cacheId="282" r:id="rId18"/>
    <pivotCache cacheId="28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4" i="15" l="1"/>
  <c r="G15" i="15"/>
  <c r="G16" i="15"/>
  <c r="G17" i="15"/>
  <c r="G18" i="15"/>
  <c r="G19" i="15"/>
  <c r="G20" i="15"/>
  <c r="G21" i="15"/>
  <c r="G13" i="15"/>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W828" i="1" s="1"/>
  <c r="H829" i="1"/>
  <c r="J829" i="1"/>
  <c r="O829" i="1"/>
  <c r="W829" i="1" s="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H21" i="15"/>
  <c r="H20" i="15"/>
  <c r="H18" i="15"/>
  <c r="H17" i="15"/>
  <c r="H15" i="15"/>
  <c r="H14" i="15"/>
  <c r="H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H16" i="15"/>
  <c r="N16" i="15"/>
  <c r="N20" i="15"/>
  <c r="N17" i="15"/>
  <c r="H19" i="15"/>
  <c r="O37" i="15" l="1"/>
  <c r="P34" i="15"/>
  <c r="P37" i="15" s="1"/>
  <c r="H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<sst xmlns="http://schemas.openxmlformats.org/spreadsheetml/2006/main" count="34246" uniqueCount="2428">
  <si>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</si>
  <si>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</si>
  <si>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</si>
  <si>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</si>
  <si>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</si>
  <si>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</si>
  <si>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</si>
  <si>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</si>
  <si>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</si>
  <si>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</si>
  <si>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</si>
  <si>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</si>
  <si>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</si>
  <si>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</si>
  <si>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</si>
  <si>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</si>
  <si>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</si>
  <si>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</si>
  <si>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</si>
  <si>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</si>
  <si>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</si>
  <si>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</si>
  <si>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</si>
  <si>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</si>
  <si>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</si>
  <si>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</si>
  <si>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</si>
  <si>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</si>
  <si>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</si>
  <si>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</si>
  <si>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</si>
  <si>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</si>
  <si>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</si>
  <si>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</si>
  <si>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</si>
  <si>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</si>
  <si>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</si>
  <si>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</si>
  <si>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</si>
  <si>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</si>
  <si>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</si>
  <si>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</si>
  <si>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</si>
  <si>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</si>
  <si>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</si>
  <si>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</si>
  <si>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</si>
  <si>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</si>
  <si>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</si>
  <si>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</si>
  <si>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</si>
  <si>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</si>
  <si>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</si>
  <si>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</si>
  <si>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</si>
  <si>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</si>
  <si>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</si>
  <si>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</si>
  <si>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</si>
  <si>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</si>
  <si>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</si>
  <si>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</si>
  <si>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</si>
  <si>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</si>
  <si>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</si>
  <si>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</si>
  <si>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</si>
  <si>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</si>
  <si>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</si>
  <si>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</si>
  <si>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</si>
  <si>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</si>
  <si>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</si>
  <si>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</si>
  <si>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</si>
  <si>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</si>
  <si>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</si>
  <si>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</si>
  <si>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</si>
  <si>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</si>
  <si>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</si>
  <si>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</si>
  <si>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</si>
  <si>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</si>
  <si>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</si>
  <si>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</si>
  <si>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</si>
  <si>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</si>
  <si>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</si>
  <si>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</si>
  <si>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</si>
  <si>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</si>
  <si>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</si>
  <si>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</si>
  <si>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</si>
  <si>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</si>
  <si>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</si>
  <si>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</si>
  <si>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</si>
  <si>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</si>
  <si>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</si>
  <si>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</si>
  <si>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</si>
  <si>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</si>
  <si>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</si>
  <si>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</si>
  <si>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</si>
  <si>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</si>
  <si>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</si>
  <si>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</si>
  <si>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</si>
  <si>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</si>
  <si>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</si>
  <si>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</si>
  <si>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</si>
  <si>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</si>
  <si>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</si>
  <si>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</si>
  <si>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</si>
  <si>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</si>
  <si>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</si>
  <si>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</si>
  <si>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</si>
  <si>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</si>
  <si>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</si>
  <si>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</si>
  <si>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</si>
  <si>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</si>
  <si>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</si>
  <si>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</si>
  <si>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</si>
  <si>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</si>
  <si>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</si>
  <si>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</si>
  <si>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</si>
  <si>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</si>
  <si>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</si>
  <si>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</si>
  <si>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</si>
  <si>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</si>
  <si>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</si>
  <si>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</si>
  <si>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</si>
  <si>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</si>
  <si>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</si>
  <si>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</si>
  <si>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</si>
  <si>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</si>
  <si>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</si>
  <si>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</si>
  <si>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</si>
  <si>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</si>
  <si>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</si>
  <si>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</si>
  <si>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</si>
  <si>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</si>
  <si>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</si>
  <si>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</si>
  <si>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</si>
  <si>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</si>
  <si>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</si>
  <si>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</si>
  <si>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</si>
  <si>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</si>
  <si>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</si>
  <si>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</si>
  <si>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</si>
  <si>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</si>
  <si>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</si>
  <si>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</si>
  <si>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</si>
  <si>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</si>
  <si>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</si>
  <si>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</si>
  <si>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</si>
  <si>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</si>
  <si>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</si>
  <si>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</si>
  <si>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</si>
  <si>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</si>
  <si>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</si>
  <si>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</si>
  <si>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</si>
  <si>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</si>
  <si>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</si>
  <si>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</si>
  <si>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</si>
  <si>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</si>
  <si>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</si>
  <si>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</si>
  <si>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</si>
  <si>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</si>
  <si>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</si>
  <si>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</si>
  <si>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</si>
  <si>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</si>
  <si>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</si>
  <si>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</si>
  <si>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</si>
  <si>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</si>
  <si>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</si>
  <si>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</si>
  <si>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</si>
  <si>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</si>
  <si>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</si>
  <si>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</si>
  <si>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</si>
  <si>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</si>
  <si>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</si>
  <si>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</si>
  <si>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</si>
  <si>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</si>
  <si>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</si>
  <si>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</si>
  <si>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</si>
  <si>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</si>
  <si>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</si>
  <si>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</si>
  <si>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</si>
  <si>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</si>
  <si>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</si>
  <si>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</si>
  <si>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</si>
  <si>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</si>
  <si>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</si>
  <si>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</si>
  <si>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</si>
  <si>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</si>
  <si>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</si>
  <si>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</si>
  <si>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</si>
  <si>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</si>
  <si>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</si>
  <si>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</si>
  <si>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</si>
  <si>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</si>
  <si>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</si>
  <si>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</si>
  <si>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</si>
  <si>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</si>
  <si>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</si>
  <si>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</si>
  <si>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</si>
  <si>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</si>
  <si>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</si>
  <si>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</si>
  <si>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</si>
  <si>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</si>
  <si>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</si>
  <si>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</si>
  <si>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</si>
  <si>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</si>
  <si>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</si>
  <si>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</si>
  <si>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</si>
  <si>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</si>
  <si>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</si>
  <si>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</si>
  <si>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</si>
  <si>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</si>
  <si>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</si>
  <si>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</si>
  <si>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</si>
  <si>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</si>
  <si>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</si>
  <si>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</si>
  <si>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</si>
  <si>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</si>
  <si>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</si>
  <si>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</si>
  <si>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</si>
  <si>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</si>
  <si>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</si>
  <si>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</si>
  <si>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</si>
  <si>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</si>
  <si>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</si>
  <si>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</si>
  <si>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</si>
  <si>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</si>
  <si>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</si>
  <si>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</si>
  <si>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</si>
  <si>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</si>
  <si>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</si>
  <si>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</si>
  <si>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</si>
  <si>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</si>
  <si>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</si>
  <si>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</si>
  <si>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</si>
  <si>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</si>
  <si>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</si>
  <si>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</si>
  <si>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</si>
  <si>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</si>
  <si>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</si>
  <si>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</si>
  <si>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</si>
  <si>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</si>
  <si>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</si>
  <si>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</si>
  <si>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</si>
  <si>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</si>
  <si>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</si>
  <si>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</si>
  <si>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</si>
  <si>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</si>
  <si>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</si>
  <si>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</si>
  <si>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</si>
  <si>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</si>
  <si>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</si>
  <si>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</si>
  <si>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</si>
  <si>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</si>
  <si>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</si>
  <si>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</si>
  <si>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</si>
  <si>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</si>
  <si>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</si>
  <si>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</si>
  <si>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</si>
  <si>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</si>
  <si>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</si>
  <si>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</si>
  <si>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</si>
  <si>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</si>
  <si>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</si>
  <si>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</si>
  <si>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</si>
  <si>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</si>
  <si>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</si>
  <si>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</si>
  <si>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</si>
  <si>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</si>
  <si>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</si>
  <si>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</si>
  <si>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</si>
  <si>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</si>
  <si>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</si>
  <si>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</si>
  <si>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</si>
  <si>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</si>
  <si>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</si>
  <si>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</si>
  <si>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</si>
  <si>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</si>
  <si>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</si>
  <si>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</si>
  <si>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</si>
  <si>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</si>
  <si>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</si>
  <si>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</si>
  <si>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</si>
  <si>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</si>
  <si>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</si>
  <si>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</si>
  <si>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</si>
  <si>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</si>
  <si>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</si>
  <si>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</si>
  <si>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</si>
  <si>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</si>
  <si>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</si>
  <si>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</si>
  <si>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</si>
  <si>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</si>
  <si>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</si>
  <si>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</si>
  <si>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</si>
  <si>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</si>
  <si>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</si>
  <si>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</si>
  <si>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</si>
  <si>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</si>
  <si>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</si>
  <si>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</si>
  <si>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</si>
  <si>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</si>
  <si>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</si>
  <si>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</si>
  <si>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</si>
  <si>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</si>
  <si>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</si>
  <si>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</si>
  <si>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</si>
  <si>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</si>
  <si>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</si>
  <si>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</si>
  <si>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</si>
  <si>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</si>
  <si>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</si>
  <si>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</si>
  <si>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</si>
  <si>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</si>
  <si>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</si>
  <si>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</si>
  <si>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</si>
  <si>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</si>
  <si>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</si>
  <si>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</si>
  <si>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</si>
  <si>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</si>
  <si>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</si>
  <si>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</si>
  <si>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</si>
  <si>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</si>
  <si>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</si>
  <si>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</si>
  <si>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</si>
  <si>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</si>
  <si>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</si>
  <si>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</si>
  <si>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</si>
  <si>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</si>
  <si>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</si>
  <si>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</si>
  <si>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</si>
  <si>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</si>
  <si>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</si>
  <si>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</si>
  <si>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</si>
  <si>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</si>
  <si>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</si>
  <si>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</si>
  <si>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</si>
  <si>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</si>
  <si>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</si>
  <si>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</si>
  <si>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</si>
  <si>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</si>
  <si>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</si>
  <si>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</si>
  <si>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</si>
  <si>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</si>
  <si>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</si>
  <si>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</si>
  <si>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</si>
  <si>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</si>
  <si>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</si>
  <si>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</si>
  <si>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</si>
  <si>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</si>
  <si>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</si>
  <si>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</si>
  <si>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</si>
  <si>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</si>
  <si>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</si>
  <si>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</si>
  <si>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</si>
  <si>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</si>
  <si>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</si>
  <si>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</si>
  <si>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</si>
  <si>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</si>
  <si>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</si>
  <si>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</si>
  <si>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</si>
  <si>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</si>
  <si>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</si>
  <si>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</si>
  <si>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</si>
  <si>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</si>
  <si>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</si>
  <si>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</si>
  <si>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</si>
  <si>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</si>
  <si>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</si>
  <si>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</si>
  <si>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</si>
  <si>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</si>
  <si>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</si>
  <si>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</si>
  <si>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</si>
  <si>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</si>
  <si>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</si>
  <si>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</si>
  <si>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</si>
  <si>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</si>
  <si>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</si>
  <si>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</si>
  <si>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</si>
  <si>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</si>
  <si>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</si>
  <si>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</si>
  <si>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</si>
  <si>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</si>
  <si>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</si>
  <si>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</si>
  <si>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</si>
  <si>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</si>
  <si>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</si>
  <si>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</si>
  <si>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</si>
  <si>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</si>
  <si>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</si>
  <si>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</si>
  <si>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</si>
  <si>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</si>
  <si>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</si>
  <si>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</si>
  <si>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</si>
  <si>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</si>
  <si>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</si>
  <si>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</si>
  <si>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</si>
  <si>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</si>
  <si>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</si>
  <si>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</si>
  <si>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</si>
  <si>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</si>
  <si>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</si>
  <si>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</si>
  <si>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</si>
  <si>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</si>
  <si>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</si>
  <si>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</si>
  <si>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</si>
  <si>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</si>
  <si>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</si>
  <si>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</si>
  <si>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</si>
  <si>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</si>
  <si>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</si>
  <si>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</si>
  <si>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</si>
  <si>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</si>
  <si>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</si>
  <si>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</si>
  <si>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</si>
  <si>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</si>
  <si>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</si>
  <si>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</si>
  <si>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</si>
  <si>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</si>
  <si>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</si>
  <si>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</si>
  <si>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</si>
  <si>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</si>
  <si>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</si>
  <si>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</si>
  <si>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</si>
  <si>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</si>
  <si>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</si>
  <si>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</si>
  <si>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</si>
  <si>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</si>
  <si>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</si>
  <si>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</si>
  <si>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</si>
  <si>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</si>
  <si>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</si>
  <si>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</si>
  <si>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</si>
  <si>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</si>
  <si>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</si>
  <si>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</si>
  <si>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</si>
  <si>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</si>
  <si>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</si>
  <si>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</si>
  <si>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</si>
  <si>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</si>
  <si>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</si>
  <si>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</si>
  <si>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</si>
  <si>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</si>
  <si>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</si>
  <si>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</si>
  <si>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</si>
  <si>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</si>
  <si>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</si>
  <si>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</si>
  <si>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</si>
  <si>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</si>
  <si>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</si>
  <si>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</si>
  <si>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</si>
  <si>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</si>
  <si>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</si>
  <si>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</si>
  <si>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</si>
  <si>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</si>
  <si>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</si>
  <si>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</si>
  <si>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</si>
  <si>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</si>
  <si>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</si>
  <si>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</si>
  <si>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</si>
  <si>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</si>
  <si>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</si>
  <si>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</si>
  <si>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</si>
  <si>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</si>
  <si>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</si>
  <si>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</si>
  <si>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</si>
  <si>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</si>
  <si>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</si>
  <si>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</si>
  <si>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</si>
  <si>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</si>
  <si>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</si>
  <si>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</si>
  <si>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</si>
  <si>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</si>
  <si>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</si>
  <si>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</si>
  <si>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</si>
  <si>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</si>
  <si>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</si>
  <si>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</si>
  <si>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</si>
  <si>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</si>
  <si>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</si>
  <si>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</si>
  <si>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</si>
  <si>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</si>
  <si>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</si>
  <si>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</si>
  <si>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</si>
  <si>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</si>
  <si>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</si>
  <si>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</si>
  <si>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</si>
  <si>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</si>
  <si>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</si>
  <si>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</si>
  <si>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</si>
  <si>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</si>
  <si>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</si>
  <si>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</si>
  <si>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</si>
  <si>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</si>
  <si>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</si>
  <si>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</si>
  <si>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</si>
  <si>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</si>
  <si>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</si>
  <si>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</si>
  <si>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</si>
  <si>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</si>
  <si>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</si>
  <si>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</si>
  <si>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</si>
  <si>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</si>
  <si>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</si>
  <si>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</si>
  <si>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</si>
  <si>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</si>
  <si>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</si>
  <si>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</si>
  <si>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</si>
  <si>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</si>
  <si>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</si>
  <si>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</si>
  <si>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</si>
  <si>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</si>
  <si>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</si>
  <si>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</si>
  <si>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</si>
  <si>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</si>
  <si>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</si>
  <si>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</si>
  <si>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</si>
  <si>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</si>
  <si>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</si>
  <si>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</si>
  <si>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</si>
  <si>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</si>
  <si>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</si>
  <si>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</si>
  <si>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</si>
  <si>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</si>
  <si>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</si>
  <si>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</si>
  <si>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</si>
  <si>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</si>
  <si>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</si>
  <si>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</si>
  <si>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</si>
  <si>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</si>
  <si>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</si>
  <si>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</si>
  <si>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</si>
  <si>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</si>
  <si>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</si>
  <si>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</si>
  <si>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</si>
  <si>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</si>
  <si>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</si>
  <si>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</si>
  <si>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</si>
  <si>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</si>
  <si>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</si>
  <si>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</si>
  <si>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</si>
  <si>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</si>
  <si>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</si>
  <si>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</si>
  <si>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</si>
  <si>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</si>
  <si>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</si>
  <si>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</si>
  <si>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</si>
  <si>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</si>
  <si>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</si>
  <si>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</si>
  <si>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</si>
  <si>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</si>
  <si>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</si>
  <si>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</si>
  <si>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</si>
  <si>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</si>
  <si>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</si>
  <si>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</si>
  <si>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</si>
  <si>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</si>
  <si>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</si>
  <si>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</si>
  <si>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</si>
  <si>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</si>
  <si>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</si>
  <si>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</si>
  <si>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</si>
  <si>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</si>
  <si>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</si>
  <si>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</si>
  <si>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</si>
  <si>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</si>
  <si>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</si>
  <si>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</si>
  <si>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</si>
  <si>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</si>
  <si>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</si>
  <si>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</si>
  <si>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</si>
  <si>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</si>
  <si>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</si>
  <si>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</si>
  <si>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</si>
  <si>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</si>
  <si>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</si>
  <si>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</si>
  <si>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</si>
  <si>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</si>
  <si>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</si>
  <si>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</si>
  <si>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</si>
  <si>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</si>
  <si>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</si>
  <si>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</si>
  <si>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</si>
  <si>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</si>
  <si>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</si>
  <si>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</si>
  <si>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</si>
  <si>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</si>
  <si>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</si>
  <si>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</si>
  <si>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</si>
  <si>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</si>
  <si>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</si>
  <si>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</si>
  <si>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</si>
  <si>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</si>
  <si>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</si>
  <si>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</si>
  <si>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</si>
  <si>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</si>
  <si>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</si>
  <si>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</si>
  <si>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</si>
  <si>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</si>
  <si>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</si>
  <si>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</si>
  <si>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</si>
  <si>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</si>
  <si>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</si>
  <si>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</si>
  <si>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</si>
  <si>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</si>
  <si>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</si>
  <si>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</si>
  <si>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</si>
  <si>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</si>
  <si>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</si>
  <si>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</si>
  <si>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</si>
  <si>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</si>
  <si>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</si>
  <si>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</si>
  <si>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</si>
  <si>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</si>
  <si>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</si>
  <si>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</si>
  <si>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</si>
  <si>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</si>
  <si>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</si>
  <si>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</si>
  <si>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</si>
  <si>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</si>
  <si>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</si>
  <si>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</si>
  <si>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</si>
  <si>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</si>
  <si>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</si>
  <si>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</si>
  <si>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</si>
  <si>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</si>
  <si>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</si>
  <si>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</si>
  <si>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</si>
  <si>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</si>
  <si>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</si>
  <si>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</si>
  <si>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</si>
  <si>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</si>
  <si>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</si>
  <si>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</si>
  <si>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</si>
  <si>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</si>
  <si>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</si>
  <si>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</si>
  <si>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</si>
  <si>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</si>
  <si>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</si>
  <si>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</si>
  <si>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</si>
  <si>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</si>
  <si>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</si>
  <si>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</si>
  <si>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</si>
  <si>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</si>
  <si>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</si>
  <si>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</si>
  <si>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</si>
  <si>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</si>
  <si>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</si>
  <si>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</si>
  <si>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</si>
  <si>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</si>
  <si>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</si>
  <si>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</si>
  <si>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</si>
  <si>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</si>
  <si>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</si>
  <si>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</si>
  <si>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</si>
  <si>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</si>
  <si>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</si>
  <si>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</si>
  <si>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</si>
  <si>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</si>
  <si>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</si>
  <si>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</si>
  <si>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</si>
  <si>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</si>
  <si>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</si>
  <si>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</si>
  <si>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</si>
  <si>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</si>
  <si>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</si>
  <si>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</si>
  <si>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</si>
  <si>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</si>
  <si>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</si>
  <si>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</si>
  <si>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</si>
  <si>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</si>
  <si>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</si>
  <si>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</si>
  <si>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</si>
  <si>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</si>
  <si>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</si>
  <si>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</si>
  <si>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</si>
  <si>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</si>
  <si>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</si>
  <si>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</si>
  <si>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</si>
  <si>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</si>
  <si>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</si>
  <si>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</si>
  <si>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</si>
  <si>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</si>
  <si>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</si>
  <si>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</si>
  <si>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</si>
  <si>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</si>
  <si>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</si>
  <si>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</si>
  <si>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</si>
  <si>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</si>
  <si>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</si>
  <si>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</si>
  <si>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</si>
  <si>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</si>
  <si>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</si>
  <si>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</si>
  <si>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</si>
  <si>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</si>
  <si>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</si>
  <si>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</si>
  <si>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</si>
  <si>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</si>
  <si>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</si>
  <si>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</si>
  <si>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</si>
  <si>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</si>
  <si>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</si>
  <si>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</si>
  <si>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</si>
  <si>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</si>
  <si>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</si>
  <si>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</si>
  <si>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</si>
  <si>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</si>
  <si>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</si>
  <si>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</si>
  <si>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</si>
  <si>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</si>
  <si>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</si>
  <si>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</si>
  <si>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</si>
  <si>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</si>
  <si>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</si>
  <si>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</si>
  <si>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</si>
  <si>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</si>
  <si>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</si>
  <si>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</si>
  <si>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</si>
  <si>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</si>
  <si>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</si>
  <si>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</si>
  <si>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</si>
  <si>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</si>
  <si>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</si>
  <si>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</si>
  <si>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</si>
  <si>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</si>
  <si>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</si>
  <si>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</si>
  <si>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</si>
  <si>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</si>
  <si>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</si>
  <si>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</si>
  <si>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</si>
  <si>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</si>
  <si>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</si>
  <si>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</si>
  <si>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</si>
  <si>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</si>
  <si>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</si>
  <si>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</si>
  <si>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</si>
  <si>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</si>
  <si>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</si>
  <si>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</si>
  <si>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</si>
  <si>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</si>
  <si>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</si>
  <si>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</si>
  <si>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</si>
  <si>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</si>
  <si>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</si>
  <si>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</si>
  <si>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</si>
  <si>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</si>
  <si>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</si>
  <si>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</si>
  <si>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</si>
  <si>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</si>
  <si>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</si>
  <si>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</si>
  <si>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</si>
  <si>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</si>
  <si>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</si>
  <si>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</si>
  <si>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</si>
  <si>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</si>
  <si>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</si>
  <si>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</si>
  <si>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</si>
  <si>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</si>
  <si>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</si>
  <si>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</si>
  <si>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</si>
  <si>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</si>
  <si>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</si>
  <si>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</si>
  <si>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</si>
  <si>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</si>
  <si>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</si>
  <si>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</si>
  <si>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</si>
  <si>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</si>
  <si>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</si>
  <si>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</si>
  <si>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</si>
  <si>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</si>
  <si>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</si>
  <si>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</si>
  <si>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</si>
  <si>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</si>
  <si>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</si>
  <si>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</si>
  <si>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</si>
  <si>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</si>
  <si>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</si>
  <si>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</si>
  <si>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</si>
  <si>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</si>
  <si>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</si>
  <si>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</si>
  <si>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</si>
  <si>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</si>
  <si>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</si>
  <si>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</si>
  <si>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</si>
  <si>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</si>
  <si>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</si>
  <si>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</si>
  <si>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</si>
  <si>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</si>
  <si>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</si>
  <si>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</si>
  <si>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</si>
  <si>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</si>
  <si>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</si>
  <si>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</si>
  <si>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</si>
  <si>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</si>
  <si>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</si>
  <si>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</si>
  <si>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</si>
  <si>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</si>
  <si>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</si>
  <si>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</si>
  <si>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</si>
  <si>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</si>
  <si>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</si>
  <si>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</si>
  <si>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</si>
  <si>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</si>
  <si>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</si>
  <si>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</si>
  <si>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</si>
  <si>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</si>
  <si>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</si>
  <si>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</si>
  <si>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</si>
  <si>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</si>
  <si>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</si>
  <si>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</si>
  <si>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</si>
  <si>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</si>
  <si>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</si>
  <si>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</si>
  <si>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</si>
  <si>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</si>
  <si>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</si>
  <si>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</si>
  <si>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</si>
  <si>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</si>
  <si>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</si>
  <si>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</si>
  <si>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</si>
  <si>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</si>
  <si>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</si>
  <si>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</si>
  <si>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</si>
  <si>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</si>
  <si>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</si>
  <si>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</si>
  <si>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</si>
  <si>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</si>
  <si>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</si>
  <si>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</si>
  <si>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</si>
  <si>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</si>
  <si>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</si>
  <si>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</si>
  <si>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</si>
  <si>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</si>
  <si>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</si>
  <si>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</si>
  <si>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</si>
  <si>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</si>
  <si>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</si>
  <si>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</si>
  <si>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</si>
  <si>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</si>
  <si>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</si>
  <si>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</si>
  <si>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</si>
  <si>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</si>
  <si>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</si>
  <si>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</si>
  <si>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</si>
  <si>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</si>
  <si>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</si>
  <si>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</si>
  <si>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</si>
  <si>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</si>
  <si>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</si>
  <si>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</si>
  <si>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</si>
  <si>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</si>
  <si>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</si>
  <si>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</si>
  <si>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</si>
  <si>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</si>
  <si>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</si>
  <si>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</si>
  <si>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</si>
  <si>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</si>
  <si>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</si>
  <si>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</si>
  <si>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</si>
  <si>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</si>
  <si>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</si>
  <si>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</si>
  <si>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</si>
  <si>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</si>
  <si>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</si>
  <si>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</si>
  <si>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</si>
  <si>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</si>
  <si>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</si>
  <si>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</si>
  <si>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</si>
  <si>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</si>
  <si>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</si>
  <si>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</si>
  <si>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</si>
  <si>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</si>
  <si>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</si>
  <si>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</si>
  <si>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</si>
  <si>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</si>
  <si>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</si>
  <si>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</si>
  <si>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</si>
  <si>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</si>
  <si>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</si>
  <si>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</si>
  <si>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</si>
  <si>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</si>
  <si>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</si>
  <si>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</si>
  <si>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</si>
  <si>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</si>
  <si>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</si>
  <si>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</si>
  <si>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</si>
  <si>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</si>
  <si>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</si>
  <si>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</si>
  <si>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</si>
  <si>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</si>
  <si>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</si>
  <si>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</si>
  <si>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</si>
  <si>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</si>
  <si>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</si>
  <si>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</si>
  <si>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</si>
  <si>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</si>
  <si>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</si>
  <si>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</si>
  <si>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</si>
  <si>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</si>
  <si>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</si>
  <si>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</si>
  <si>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</si>
  <si>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</si>
  <si>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</si>
  <si>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</si>
  <si>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</si>
  <si>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</si>
  <si>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</si>
  <si>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</si>
  <si>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</si>
  <si>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</si>
  <si>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</si>
  <si>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</si>
  <si>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</si>
  <si>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</si>
  <si>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</si>
  <si>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</si>
  <si>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</si>
  <si>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</si>
  <si>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</si>
  <si>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</si>
  <si>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</si>
  <si>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</si>
  <si>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</si>
  <si>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</si>
  <si>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</si>
  <si>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</si>
  <si>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</si>
  <si>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</si>
  <si>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</si>
  <si>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</si>
  <si>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</si>
  <si>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</si>
  <si>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</si>
  <si>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</si>
  <si>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</si>
  <si>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</si>
  <si>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</si>
  <si>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</si>
  <si>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</si>
  <si>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</si>
  <si>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</si>
  <si>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</si>
  <si>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</si>
  <si>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</si>
  <si>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</si>
  <si>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</si>
  <si>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</si>
  <si>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</si>
  <si>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</si>
  <si>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</si>
  <si>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</si>
  <si>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</si>
  <si>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</si>
  <si>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</si>
  <si>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</si>
  <si>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</si>
  <si>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</si>
  <si>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</si>
  <si>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</si>
  <si>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</si>
  <si>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</si>
  <si>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</si>
  <si>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</si>
  <si>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</si>
  <si>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</si>
  <si>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</si>
  <si>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</si>
  <si>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</si>
  <si>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</si>
  <si>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</si>
  <si>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</si>
  <si>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</si>
  <si>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</si>
  <si>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</si>
  <si>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</si>
  <si>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</si>
  <si>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</si>
  <si>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</si>
  <si>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</si>
  <si>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</si>
  <si>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</si>
  <si>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</si>
  <si>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</si>
  <si>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</si>
  <si>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</si>
  <si>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</si>
  <si>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</si>
  <si>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</si>
  <si>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</si>
  <si>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</si>
  <si>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</si>
  <si>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</si>
  <si>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</si>
  <si>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</si>
  <si>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</si>
  <si>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</si>
  <si>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</si>
  <si>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</si>
  <si>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</si>
  <si>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</si>
  <si>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</si>
  <si>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</si>
  <si>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</si>
  <si>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</si>
  <si>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</si>
  <si>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</si>
  <si>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</si>
  <si>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</si>
  <si>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</si>
  <si>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</si>
  <si>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</si>
  <si>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</si>
  <si>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</si>
  <si>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</si>
  <si>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</si>
  <si>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</si>
  <si>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</si>
  <si>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</si>
  <si>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</si>
  <si>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</si>
  <si>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</si>
  <si>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</si>
  <si>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</si>
  <si>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</si>
  <si>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</si>
  <si>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</si>
  <si>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</si>
  <si>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</si>
  <si>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</si>
  <si>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</si>
  <si>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</si>
  <si>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</si>
  <si>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</si>
  <si>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</si>
  <si>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</si>
  <si>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</si>
  <si>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</si>
  <si>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</si>
  <si>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</si>
  <si>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</si>
  <si>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</si>
  <si>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</si>
  <si>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</si>
  <si>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</si>
  <si>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</si>
  <si>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</si>
  <si>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</si>
  <si>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</si>
  <si>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</si>
  <si>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</si>
  <si>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</si>
  <si>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</si>
  <si>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</si>
  <si>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</si>
  <si>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</si>
  <si>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</si>
  <si>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</si>
  <si>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</si>
  <si>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</si>
  <si>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</si>
  <si>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</si>
  <si>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</si>
  <si>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</si>
  <si>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</si>
  <si>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</si>
  <si>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</si>
  <si>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</si>
  <si>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</si>
  <si>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</si>
  <si>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</si>
  <si>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</si>
  <si>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</si>
  <si>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</si>
  <si>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</si>
  <si>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</si>
  <si>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</si>
  <si>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</si>
  <si>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</si>
  <si>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</si>
  <si>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</si>
  <si>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</si>
  <si>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</si>
  <si>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</si>
  <si>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</si>
  <si>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</si>
  <si>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</si>
  <si>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</si>
  <si>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</si>
  <si>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</si>
  <si>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</si>
  <si>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</si>
  <si>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</si>
  <si>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</si>
  <si>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</si>
  <si>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</si>
  <si>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</si>
  <si>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</si>
  <si>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</si>
  <si>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</si>
  <si>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</si>
  <si>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</si>
  <si>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</si>
  <si>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</si>
  <si>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</si>
  <si>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</si>
  <si>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</si>
  <si>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</si>
  <si>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</si>
  <si>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</si>
  <si>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</si>
  <si>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</si>
  <si>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</si>
  <si>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</si>
  <si>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</si>
  <si>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</si>
  <si>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</si>
  <si>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</si>
  <si>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</si>
  <si>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</si>
  <si>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</si>
  <si>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</si>
  <si>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</si>
  <si>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</si>
  <si>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</si>
  <si>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</si>
  <si>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</si>
  <si>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</si>
  <si>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</si>
  <si>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</si>
  <si>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</si>
  <si>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</si>
  <si>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</si>
  <si>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</si>
  <si>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</si>
  <si>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</si>
  <si>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</si>
  <si>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</si>
  <si>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</si>
  <si>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</si>
  <si>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</si>
  <si>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</si>
  <si>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</si>
  <si>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</si>
  <si>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</si>
  <si>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</si>
  <si>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</si>
  <si>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</si>
  <si>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</si>
  <si>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</si>
  <si>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</si>
  <si>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</si>
  <si>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</si>
  <si>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</si>
  <si>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</si>
  <si>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</si>
  <si>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</si>
  <si>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</si>
  <si>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</si>
  <si>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</si>
  <si>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</si>
  <si>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</si>
  <si>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</si>
  <si>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</si>
  <si>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</si>
  <si>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</si>
  <si>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</si>
  <si>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</si>
  <si>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</si>
  <si>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</si>
  <si>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</si>
  <si>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</si>
  <si>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</si>
  <si>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</si>
  <si>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</si>
  <si>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</si>
  <si>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</si>
  <si>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</si>
  <si>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</si>
  <si>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</si>
  <si>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</si>
  <si>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</si>
  <si>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</si>
  <si>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</si>
  <si>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</si>
  <si>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</si>
  <si>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</si>
  <si>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</si>
  <si>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</si>
  <si>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</si>
  <si>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</si>
  <si>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</si>
  <si>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</si>
  <si>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</si>
  <si>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</si>
  <si>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</si>
  <si>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</si>
  <si>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</si>
  <si>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</si>
  <si>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</si>
  <si>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</si>
  <si>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</si>
  <si>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</si>
  <si>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</si>
  <si>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</si>
  <si>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</si>
  <si>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</si>
  <si>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</si>
  <si>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</si>
  <si>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</si>
  <si>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</si>
  <si>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</si>
  <si>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</si>
  <si>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</si>
  <si>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</si>
  <si>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</si>
  <si>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</si>
  <si>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</si>
  <si>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</si>
  <si>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</si>
  <si>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</si>
  <si>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</si>
  <si>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</si>
  <si>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</si>
  <si>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</si>
  <si>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</si>
  <si>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</si>
  <si>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</si>
  <si>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</si>
  <si>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</si>
  <si>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</si>
  <si>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</si>
  <si>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</si>
  <si>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</si>
  <si>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</si>
  <si>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</si>
  <si>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</si>
  <si>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</si>
  <si>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</si>
  <si>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</si>
  <si>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</si>
  <si>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</si>
  <si>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</si>
  <si>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</si>
  <si>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</si>
  <si>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</si>
  <si>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</si>
  <si>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</si>
  <si>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</si>
  <si>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</si>
  <si>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</si>
  <si>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</si>
  <si>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</si>
  <si>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</si>
  <si>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</si>
  <si>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</si>
  <si>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</si>
  <si>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</si>
  <si>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</si>
  <si>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</si>
  <si>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</si>
  <si>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</si>
  <si>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</si>
  <si>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</si>
  <si>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</si>
  <si>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</si>
  <si>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</si>
  <si>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</si>
  <si>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</si>
  <si>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</si>
  <si>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</si>
  <si>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</si>
  <si>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</si>
  <si>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</si>
  <si>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</si>
  <si>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</si>
  <si>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</si>
  <si>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</si>
  <si>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</si>
  <si>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</si>
  <si>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</si>
  <si>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</si>
  <si>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</si>
  <si>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</si>
  <si>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</si>
  <si>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</si>
  <si>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</si>
  <si>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</si>
  <si>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</si>
  <si>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</si>
  <si>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</si>
  <si>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</si>
  <si>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</si>
  <si>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</si>
  <si>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</si>
  <si>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</si>
  <si>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</si>
  <si>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</si>
  <si>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</si>
  <si>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</si>
  <si>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</si>
  <si>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</si>
  <si>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</si>
  <si>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</si>
  <si>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</si>
  <si>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</si>
  <si>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</si>
  <si>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</si>
  <si>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</si>
  <si>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</si>
  <si>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</si>
  <si>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</si>
  <si>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</si>
  <si>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</si>
  <si>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</si>
  <si>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</si>
  <si>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</si>
  <si>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</si>
  <si>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</si>
  <si>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</si>
  <si>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</si>
  <si>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</si>
  <si>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</si>
  <si>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</si>
  <si>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</si>
  <si>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</si>
  <si>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</si>
  <si>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</si>
  <si>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</si>
  <si>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</si>
  <si>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</si>
  <si>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</si>
  <si>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</si>
  <si>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</si>
  <si>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</si>
  <si>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</si>
  <si>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</si>
  <si>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</si>
  <si>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</si>
  <si>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</si>
  <si>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</si>
  <si>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</si>
  <si>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</si>
  <si>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</si>
  <si>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</si>
  <si>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</si>
  <si>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</si>
  <si>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</si>
  <si>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</si>
  <si>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</si>
  <si>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</si>
  <si>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</si>
  <si>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</si>
  <si>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</si>
  <si>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</si>
  <si>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</si>
  <si>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</si>
  <si>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</si>
  <si>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</si>
  <si>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</si>
  <si>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</si>
  <si>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</si>
  <si>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</si>
  <si>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</si>
  <si>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</si>
  <si>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</si>
  <si>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</si>
  <si>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</si>
  <si>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</si>
  <si>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</si>
  <si>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</si>
  <si>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</si>
  <si>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</si>
  <si>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</si>
  <si>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</si>
  <si>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</si>
  <si>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</si>
  <si>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</si>
  <si>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</si>
  <si>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</si>
  <si>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</si>
  <si>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</si>
  <si>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</si>
  <si>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</si>
  <si>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</si>
  <si>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</si>
  <si>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</si>
  <si>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</si>
  <si>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</si>
  <si>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</si>
  <si>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</si>
  <si>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</si>
  <si>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</si>
  <si>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</si>
  <si>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</si>
  <si>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</si>
  <si>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</si>
  <si>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</si>
  <si>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</si>
  <si>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</si>
  <si>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</si>
  <si>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</si>
  <si>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</si>
  <si>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</si>
  <si>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</si>
  <si>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</si>
  <si>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</si>
  <si>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</si>
  <si>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</si>
  <si>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</si>
  <si>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</si>
  <si>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</si>
  <si>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</si>
  <si>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</si>
  <si>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</si>
  <si>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</si>
  <si>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</si>
  <si>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</si>
  <si>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</si>
  <si>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</si>
  <si>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</si>
  <si>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</si>
  <si>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</si>
  <si>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</si>
  <si>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</si>
  <si>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</si>
  <si>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</si>
  <si>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</si>
  <si>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</si>
  <si>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</si>
  <si>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</si>
  <si>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</si>
  <si>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</si>
  <si>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</si>
  <si>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</si>
  <si>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</si>
  <si>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</si>
  <si>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</si>
  <si>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</si>
  <si>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</si>
  <si>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</si>
  <si>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</si>
  <si>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</si>
  <si>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</si>
  <si>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</si>
  <si>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</si>
  <si>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</si>
  <si>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</si>
  <si>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</si>
  <si>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</si>
  <si>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</si>
  <si>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</si>
  <si>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</si>
  <si>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</si>
  <si>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</si>
  <si>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</si>
  <si>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</si>
  <si>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</si>
  <si>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</si>
  <si>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</si>
  <si>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</si>
  <si>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</si>
  <si>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</si>
  <si>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</si>
  <si>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</si>
  <si>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</si>
  <si>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</si>
  <si>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</si>
  <si>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</si>
  <si>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</si>
  <si>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</si>
  <si>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</si>
  <si>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</si>
  <si>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</si>
  <si>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</si>
  <si>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</si>
  <si>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</si>
  <si>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</si>
  <si>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</si>
  <si>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</si>
  <si>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</si>
  <si>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</si>
  <si>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</si>
  <si>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</si>
  <si>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</si>
  <si>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</si>
  <si>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</si>
  <si>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</si>
  <si>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</si>
  <si>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</si>
  <si>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</si>
  <si>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</si>
  <si>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</si>
  <si>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</si>
  <si>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</si>
  <si>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</si>
  <si>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</si>
  <si>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</si>
  <si>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</si>
  <si>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</si>
  <si>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</si>
  <si>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</si>
  <si>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</si>
  <si>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</si>
  <si>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</si>
  <si>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</si>
  <si>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</si>
  <si>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</si>
  <si>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</si>
  <si>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</si>
  <si>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</si>
  <si>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</si>
  <si>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</si>
  <si>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</si>
  <si>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</si>
  <si>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</si>
  <si>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</si>
  <si>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</si>
  <si>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</si>
  <si>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</si>
  <si>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</si>
  <si>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</si>
  <si>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</si>
  <si>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</si>
  <si>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</si>
  <si>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</si>
  <si>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</si>
  <si>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</si>
  <si>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</si>
  <si>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</si>
  <si>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</si>
  <si>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</si>
  <si>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</si>
  <si>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</si>
  <si>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</si>
  <si>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</si>
  <si>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</si>
  <si>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</si>
  <si>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</si>
  <si>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</si>
  <si>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</si>
  <si>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</si>
  <si>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</si>
  <si>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</si>
  <si>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</si>
  <si>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</si>
  <si>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</si>
  <si>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</si>
  <si>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</si>
  <si>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</si>
  <si>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</si>
  <si>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</si>
  <si>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</si>
  <si>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</si>
  <si>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</si>
  <si>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</si>
  <si>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</si>
  <si>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</si>
  <si>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</si>
  <si>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</si>
  <si>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</si>
  <si>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</si>
  <si>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</si>
  <si>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</si>
  <si>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</si>
  <si>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</si>
  <si>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</si>
  <si>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</si>
  <si>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</si>
  <si>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</si>
  <si>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</si>
  <si>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</si>
  <si>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</si>
  <si>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</si>
  <si>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</si>
  <si>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</si>
  <si>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</si>
  <si>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</si>
  <si>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</si>
  <si>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</si>
  <si>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</si>
  <si>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</si>
  <si>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</si>
  <si>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</si>
  <si>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</si>
  <si>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</si>
  <si>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</si>
  <si>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</si>
  <si>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</si>
  <si>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</si>
  <si>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</si>
  <si>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</si>
  <si>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</si>
  <si>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</si>
  <si>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</si>
  <si>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</si>
  <si>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</si>
  <si>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</si>
  <si>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</si>
  <si>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</si>
  <si>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</si>
  <si>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</si>
  <si>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</si>
  <si>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</si>
  <si>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</si>
  <si>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</si>
  <si>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</si>
  <si>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</si>
  <si>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</si>
  <si>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</si>
  <si>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</si>
  <si>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</si>
  <si>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</si>
  <si>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</si>
  <si>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</si>
  <si>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</si>
  <si>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</si>
  <si>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</si>
  <si>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</si>
  <si>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</si>
  <si>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</si>
  <si>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</si>
  <si>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</si>
  <si>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</si>
  <si>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</si>
  <si>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</si>
  <si>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</si>
  <si>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</si>
  <si>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</si>
  <si>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</si>
  <si>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</si>
  <si>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</si>
  <si>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</si>
  <si>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</si>
  <si>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</si>
  <si>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</si>
  <si>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</si>
  <si>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</si>
  <si>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</si>
  <si>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</si>
  <si>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</si>
  <si>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</si>
  <si>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</si>
  <si>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</si>
  <si>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</si>
  <si>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</si>
  <si>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</si>
  <si>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</si>
  <si>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</si>
  <si>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</si>
  <si>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</si>
  <si>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</si>
  <si>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</si>
  <si>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</si>
  <si>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</si>
  <si>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</si>
  <si>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</si>
  <si>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</si>
  <si>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</si>
  <si>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</si>
  <si>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</si>
  <si>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</si>
  <si>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</si>
  <si>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</si>
  <si>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</si>
  <si>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</si>
  <si>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</si>
  <si>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</si>
  <si>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</si>
  <si>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</si>
  <si>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</si>
  <si>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</si>
  <si>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</si>
  <si>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</si>
  <si>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</si>
  <si>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</si>
  <si>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</si>
  <si>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</si>
  <si>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</si>
  <si>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</si>
  <si>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</si>
  <si>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</si>
  <si>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</si>
  <si>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</si>
  <si>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</si>
  <si>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</si>
  <si>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</si>
  <si>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</si>
  <si>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</si>
  <si>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</si>
  <si>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</si>
  <si>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</si>
  <si>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</si>
  <si>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</si>
  <si>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</si>
  <si>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</si>
  <si>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</si>
  <si>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</si>
  <si>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</si>
  <si>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</si>
  <si>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</si>
  <si>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</si>
  <si>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</si>
  <si>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</si>
  <si>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</si>
  <si>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</si>
  <si>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</si>
  <si>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</si>
  <si>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</si>
  <si>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</si>
  <si>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</si>
  <si>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</si>
  <si>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</si>
  <si>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</si>
  <si>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</si>
  <si>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</si>
  <si>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</si>
  <si>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</si>
  <si>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</si>
  <si>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</si>
  <si>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</si>
  <si>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</si>
  <si>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</si>
  <si>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</si>
  <si>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</si>
  <si>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</si>
  <si>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</si>
  <si>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</si>
  <si>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</si>
  <si>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</si>
  <si>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</si>
  <si>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</si>
  <si>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</si>
  <si>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</si>
  <si>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</si>
  <si>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</si>
  <si>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</si>
  <si>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</si>
  <si>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</si>
  <si>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</si>
  <si>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</si>
  <si>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</si>
  <si>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</si>
  <si>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</si>
  <si>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</si>
  <si>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</si>
  <si>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</si>
  <si>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</si>
  <si>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</si>
  <si>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</si>
  <si>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</si>
  <si>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</si>
  <si>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</si>
  <si>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</si>
  <si>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</si>
  <si>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</si>
  <si>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</si>
  <si>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</si>
  <si>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</si>
  <si>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</si>
  <si>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</si>
  <si>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</si>
  <si>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</si>
  <si>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</si>
  <si>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</si>
  <si>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</si>
  <si>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</si>
  <si>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</si>
  <si>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</si>
  <si>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</si>
  <si>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</si>
  <si>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</si>
  <si>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</si>
  <si>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</si>
  <si>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</si>
  <si>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</si>
  <si>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</si>
  <si>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</si>
  <si>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</si>
  <si>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</si>
  <si>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</si>
  <si>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</si>
  <si>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</si>
  <si>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</si>
  <si>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</si>
  <si>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</si>
  <si>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</si>
  <si>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</si>
  <si>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</si>
  <si>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</si>
  <si>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</si>
  <si>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</si>
  <si>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</si>
  <si>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</si>
  <si>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</si>
  <si>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</si>
  <si>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</si>
  <si>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</si>
  <si>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</si>
  <si>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</si>
  <si>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</si>
  <si>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</si>
  <si>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</si>
  <si>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</si>
  <si>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</si>
  <si>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</si>
  <si>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</si>
  <si>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</si>
  <si>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</si>
  <si>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</si>
  <si>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</si>
  <si>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</si>
  <si>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</si>
  <si>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</si>
  <si>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</si>
  <si>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</si>
  <si>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</si>
  <si>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</si>
  <si>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</si>
  <si>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</si>
  <si>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</si>
  <si>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</si>
  <si>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</si>
  <si>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</si>
  <si>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</si>
  <si>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</si>
  <si>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</si>
  <si>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</si>
  <si>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</si>
  <si>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</si>
  <si>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</si>
  <si>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</si>
  <si>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</si>
  <si>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</si>
  <si>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</si>
  <si>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</si>
  <si>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</si>
  <si>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</si>
  <si>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</si>
  <si>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</si>
  <si>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</si>
  <si>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</si>
  <si>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</si>
  <si>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</si>
  <si>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</si>
  <si>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</si>
  <si>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</si>
  <si>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</si>
  <si>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</si>
  <si>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</si>
  <si>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</si>
  <si>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</si>
  <si>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</si>
  <si>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</si>
  <si>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</si>
  <si>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</si>
  <si>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</si>
  <si>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</si>
  <si>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</si>
  <si>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</si>
  <si>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</si>
  <si>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</si>
  <si>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</si>
  <si>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</si>
  <si>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</si>
  <si>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</si>
  <si>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</si>
  <si>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</si>
  <si>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</si>
  <si>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</si>
  <si>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</si>
  <si>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</si>
  <si>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</si>
  <si>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</si>
  <si>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</si>
  <si>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</si>
  <si>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</si>
  <si>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</si>
  <si>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</si>
  <si>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</si>
  <si>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</si>
  <si>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</si>
  <si>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</si>
  <si>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</si>
  <si>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</si>
  <si>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</si>
  <si>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</si>
  <si>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</si>
  <si>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</si>
  <si>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</si>
  <si>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</si>
  <si>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</si>
  <si>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</si>
  <si>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</si>
  <si>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</si>
  <si>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</si>
  <si>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</si>
  <si>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</si>
  <si>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</si>
  <si>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</si>
  <si>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</si>
  <si>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</si>
  <si>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</si>
  <si>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</si>
  <si>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</si>
  <si>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</si>
  <si>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</si>
  <si>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</si>
  <si>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</si>
  <si>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</si>
  <si>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</si>
  <si>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</si>
  <si>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</si>
  <si>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</si>
  <si>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</si>
  <si>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</si>
  <si>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</si>
  <si>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</si>
  <si>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</si>
  <si>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</si>
  <si>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</si>
  <si>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</si>
  <si>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</si>
  <si>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</si>
  <si>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</si>
  <si>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</si>
  <si>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</si>
  <si>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</si>
  <si>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</si>
  <si>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</si>
  <si>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</si>
  <si>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</si>
  <si>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</si>
  <si>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</si>
  <si>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</si>
  <si>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</si>
  <si>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</si>
  <si>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</si>
  <si>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</si>
  <si>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</si>
  <si>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</si>
  <si>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</si>
  <si>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</si>
  <si>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</si>
  <si>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</si>
  <si>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</si>
  <si>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</si>
  <si>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</si>
  <si>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</si>
  <si>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</si>
  <si>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</si>
  <si>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</si>
  <si>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</si>
  <si>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</si>
  <si>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</si>
  <si>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</si>
  <si>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</si>
  <si>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</si>
  <si>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</si>
  <si>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</si>
  <si>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</si>
  <si>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</si>
  <si>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</si>
  <si>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</si>
  <si>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</si>
  <si>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</si>
  <si>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</si>
  <si>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</si>
  <si>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</si>
  <si>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</si>
  <si>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</si>
  <si>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</si>
  <si>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</si>
  <si>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</si>
  <si>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</si>
  <si>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</si>
  <si>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</si>
  <si>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</si>
  <si>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</si>
  <si>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</si>
  <si>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</si>
  <si>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</si>
  <si>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</si>
  <si>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</si>
  <si>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</si>
  <si>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</si>
  <si>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</si>
  <si>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</si>
  <si>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</si>
  <si>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</si>
  <si>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</si>
  <si>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</si>
  <si>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</si>
  <si>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</si>
  <si>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</si>
  <si>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</si>
  <si>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</si>
  <si>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</si>
  <si>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</si>
  <si>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</si>
  <si>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</si>
  <si>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</si>
  <si>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</si>
  <si>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</si>
  <si>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</si>
  <si>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</si>
  <si>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</si>
  <si>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</si>
  <si>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</si>
  <si>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</si>
  <si>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</si>
  <si>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</si>
  <si>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</si>
  <si>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</si>
  <si>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</si>
  <si>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</si>
  <si>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</si>
  <si>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</si>
  <si>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</si>
  <si>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</si>
  <si>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</si>
  <si>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</si>
  <si>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</si>
  <si>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</si>
  <si>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</si>
  <si>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</si>
  <si>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</si>
  <si>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</si>
  <si>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</si>
  <si>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</si>
  <si>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</si>
  <si>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</si>
  <si>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</si>
  <si>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</si>
  <si>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</si>
  <si>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</si>
  <si>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</si>
  <si>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</si>
  <si>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</si>
  <si>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</si>
  <si>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</si>
  <si>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</si>
  <si>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</si>
  <si>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</si>
  <si>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</si>
  <si>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</si>
  <si>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</si>
  <si>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</si>
  <si>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</si>
  <si>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</si>
  <si>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</si>
  <si>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</si>
  <si>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</si>
  <si>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</si>
  <si>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</si>
  <si>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</si>
  <si>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</si>
  <si>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</si>
  <si>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</si>
  <si>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</si>
  <si>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</si>
  <si>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</si>
  <si>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</si>
  <si>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</si>
  <si>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</si>
  <si>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</si>
  <si>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</si>
  <si>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</si>
  <si>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</si>
  <si>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</si>
  <si>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</si>
  <si>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</si>
  <si>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</si>
  <si>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</si>
  <si>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</si>
  <si>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</si>
  <si>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</si>
  <si>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</si>
  <si>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</si>
  <si>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</si>
  <si>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</si>
  <si>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</si>
  <si>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</si>
  <si>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</si>
  <si>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</si>
  <si>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</si>
  <si>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</si>
  <si>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</si>
  <si>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</si>
  <si>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</si>
  <si>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</si>
  <si>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</si>
  <si>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</si>
  <si>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</si>
  <si>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</si>
  <si>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</si>
  <si>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</si>
  <si>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</si>
  <si>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</si>
  <si>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</si>
  <si>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</si>
  <si>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</si>
  <si>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</si>
  <si>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</si>
  <si>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</si>
  <si>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</si>
  <si>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</si>
  <si>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</si>
  <si>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</si>
  <si>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</si>
  <si>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</si>
  <si>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</si>
  <si>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</si>
  <si>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</si>
  <si>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</si>
  <si>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</si>
  <si>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</si>
  <si>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</si>
  <si>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</si>
  <si>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</si>
  <si>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</si>
  <si>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</si>
  <si>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</si>
  <si>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</si>
  <si>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</si>
  <si>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</si>
  <si>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</si>
  <si>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</si>
  <si>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</si>
  <si>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</si>
  <si>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</si>
  <si>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</si>
  <si>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</si>
  <si>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</si>
  <si>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</si>
  <si>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</si>
  <si>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</si>
  <si>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</si>
  <si>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</si>
  <si>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</si>
  <si>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</si>
  <si>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</si>
  <si>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</si>
  <si>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</si>
  <si>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</si>
  <si>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r>
      <rPr>
        <b/>
        <sz val="11"/>
        <color theme="1"/>
        <rFont val="Santander Text"/>
        <family val="2"/>
      </rPr>
      <t xml:space="preserve">1. Resumo de especificações:
        </t>
    </r>
    <r>
      <rPr>
        <b/>
        <u/>
        <sz val="11"/>
        <color theme="1"/>
        <rFont val="Santander Text"/>
        <family val="2"/>
      </rPr>
      <t>Modelo de Bens Imóveis</t>
    </r>
    <r>
      <rPr>
        <sz val="11"/>
        <color theme="1"/>
        <rFont val="Santander Text"/>
        <family val="2"/>
      </rPr>
      <t xml:space="preserve">
- Relativo aos requisitos de 2024, foi fechada e partilhada a especificação de 49 campos (conforme planeado), sendo 44 referentes a tabela de input da Gloval e 5 referentes à tabela de certificados.
        </t>
    </r>
    <r>
      <rPr>
        <b/>
        <u/>
        <sz val="11"/>
        <color theme="1"/>
        <rFont val="Santander Text"/>
        <family val="2"/>
      </rPr>
      <t>Modelo Verde</t>
    </r>
    <r>
      <rPr>
        <sz val="11"/>
        <color theme="1"/>
        <rFont val="Santander Text"/>
        <family val="2"/>
      </rPr>
      <t xml:space="preserve">
- Relativo aos requisitos de 2024, foi fechada e partilhada a especificação de 1 campo referente à tabela de clientes (conforme planeado).
- Relativo aos requisitos de 2025, foi fechada e partilhada a especificação de 20 campos referente à tabela de clientes (conforme planeado).
        </t>
    </r>
    <r>
      <rPr>
        <b/>
        <u/>
        <sz val="11"/>
        <color theme="1"/>
        <rFont val="Santander Text"/>
        <family val="2"/>
      </rPr>
      <t>Loan Tape</t>
    </r>
    <r>
      <rPr>
        <sz val="11"/>
        <color theme="1"/>
        <rFont val="Santander Text"/>
        <family val="2"/>
      </rPr>
      <t xml:space="preserve">
- Relativo aos requisitos de 2025, foi fechada e partilhada a especificação de 20 campos referente à tabela de clientes (conforme planeado).
</t>
    </r>
    <r>
      <rPr>
        <b/>
        <i/>
        <sz val="11"/>
        <color theme="1"/>
        <rFont val="Santander Text"/>
        <family val="2"/>
      </rPr>
      <t>Denote-se que relativo aos novos requisitos de FY 2025 estavam planeados a entrega de 68 campos ao longo das semanas. No entanto, na nova versão disponibilizada pela corporação verificámos que 2 campos dos partilhados na proposta tinham sido cancelados e foram adicionados 5 novos campos, que por sua vez, perfaz um total de 71 campos. O 1º package de campos foi especificado e partilhado como previsto. Na próxima semana será disponibilizado 30 campos (referentes aos packages 2 e 3).</t>
    </r>
    <r>
      <rPr>
        <sz val="11"/>
        <color theme="1"/>
        <rFont val="Santander Text"/>
        <family val="2"/>
      </rPr>
      <t xml:space="preserve">
</t>
    </r>
    <r>
      <rPr>
        <b/>
        <sz val="11"/>
        <color theme="1"/>
        <rFont val="Santander Text"/>
        <family val="2"/>
      </rPr>
      <t>2. Resumo de testes:</t>
    </r>
    <r>
      <rPr>
        <sz val="11"/>
        <color theme="1"/>
        <rFont val="Santander Text"/>
        <family val="2"/>
      </rPr>
      <t xml:space="preserve">
        </t>
    </r>
    <r>
      <rPr>
        <b/>
        <u/>
        <sz val="11"/>
        <color theme="1"/>
        <rFont val="Santander Text"/>
        <family val="2"/>
      </rPr>
      <t>Modelo de Bens Imóveis</t>
    </r>
    <r>
      <rPr>
        <sz val="11"/>
        <color theme="1"/>
        <rFont val="Santander Text"/>
        <family val="2"/>
      </rPr>
      <t xml:space="preserve">
- Relativo aos requisitos de 2024, foi testado 1 campo (rácio NTC) na tabela de certificados (conforme planeado). Em virtude de terem sido verificadas incidências no mesmo, este será re-testado na próxima semana (após correção).
        </t>
    </r>
    <r>
      <rPr>
        <b/>
        <u/>
        <sz val="11"/>
        <color theme="1"/>
        <rFont val="Santander Text"/>
        <family val="2"/>
      </rPr>
      <t>Loan Tape</t>
    </r>
    <r>
      <rPr>
        <sz val="11"/>
        <color theme="1"/>
        <rFont val="Santander Text"/>
        <family val="2"/>
      </rPr>
      <t xml:space="preserve">
- Relativo aos requisitos de 2024, foram testados 3 campos (conforme planeado) e não foram detetadas incidências. No entanto, é necessário re-especificar estes campos em virtude das alterações da nova versão do guia corporativo. </t>
    </r>
  </si>
  <si>
    <r>
      <rPr>
        <b/>
        <sz val="11"/>
        <rFont val="Santander Text"/>
        <family val="2"/>
      </rPr>
      <t xml:space="preserve">1. Gloval:
</t>
    </r>
    <r>
      <rPr>
        <sz val="11"/>
        <rFont val="Santander Text"/>
        <family val="2"/>
      </rPr>
      <t xml:space="preserve">- Os desenvolvimentos referente à Gloval serão entregues pela equipa de Tecnologia no dia 10/02. 
- Encontrámos uma solução com a equipa de IT que permite avançar com os testes dos campos da tabela de Certificados que são aprovisionados pela tabela de Input da Gloval (4 campos). Contudo, para testar o front e a tabela de Input será necessário obter os acessos ao mesmo. 
</t>
    </r>
    <r>
      <rPr>
        <b/>
        <sz val="11"/>
        <rFont val="Santander Text"/>
        <family val="2"/>
      </rPr>
      <t>2.</t>
    </r>
    <r>
      <rPr>
        <sz val="11"/>
        <rFont val="Santander Text"/>
        <family val="2"/>
      </rPr>
      <t xml:space="preserve"> </t>
    </r>
    <r>
      <rPr>
        <b/>
        <sz val="11"/>
        <rFont val="Santander Text"/>
        <family val="2"/>
      </rPr>
      <t>Tabela de Certificados:</t>
    </r>
    <r>
      <rPr>
        <sz val="11"/>
        <rFont val="Santander Text"/>
        <family val="2"/>
      </rPr>
      <t xml:space="preserve">
- Adicionalmente, foi retestado e concluído o novo campo da tabela de certificados (rácio NTC).
 </t>
    </r>
  </si>
  <si>
    <r>
      <t xml:space="preserve">1. Foram concluídas e partilhadas as especificações dos 30 campos do Package 2 e 3 (FY25):
</t>
    </r>
    <r>
      <rPr>
        <sz val="11"/>
        <color theme="1"/>
        <rFont val="Santander Text"/>
        <family val="2"/>
      </rPr>
      <t xml:space="preserve">- 12 campos da tabela de contratos
- 1 campo da tabela de clientes
- 14 campos da tabela de Garantias
- 3 campos da tabela de relação Contrato-Atividade
</t>
    </r>
    <r>
      <rPr>
        <b/>
        <sz val="11"/>
        <color theme="1"/>
        <rFont val="Santander Text"/>
        <family val="2"/>
      </rPr>
      <t>14 dos campos entregues são do âmbito estrutural e 16 dos campos não são comuns com o âmbito estrutural</t>
    </r>
    <r>
      <rPr>
        <sz val="11"/>
        <color theme="1"/>
        <rFont val="Santander Text"/>
        <family val="2"/>
      </rPr>
      <t xml:space="preserve">
</t>
    </r>
    <r>
      <rPr>
        <sz val="11"/>
        <color theme="4"/>
        <rFont val="Santander Text"/>
        <family val="2"/>
      </rPr>
      <t xml:space="preserve">
2. Foi realizada uma pequena re-especificação a um campo da tabela de relação Contrato-Garantia e a um campo da tabela de Clientes para atualização dos novos códigos NACE.</t>
    </r>
    <r>
      <rPr>
        <b/>
        <sz val="11"/>
        <color theme="1"/>
        <rFont val="Santander Text"/>
        <family val="2"/>
      </rPr>
      <t xml:space="preserve">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</si>
  <si>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|31 de janeiro a 07 de fevereiro</t>
    </r>
  </si>
  <si>
    <t>Package x</t>
  </si>
  <si>
    <r>
      <rPr>
        <b/>
        <sz val="11"/>
        <color theme="1"/>
        <rFont val="Santander Text"/>
        <family val="2"/>
      </rPr>
      <t xml:space="preserve">1. Tabela de Input Corporativo de Risco Físico por ZipCode: </t>
    </r>
    <r>
      <rPr>
        <sz val="11"/>
        <color theme="1"/>
        <rFont val="Santander Text"/>
        <family val="2"/>
      </rPr>
      <t xml:space="preserve">
- Foi concluída e partilhada a especificação dos novos 5 campos (FY25) da tabela de Input Corporativo de Risco Físico por Zip Code. Os mesmos encontram-se agora em implementação pela equipa de Tecnologia.
- Estamos a finalizar a especificação do campo Code_Nace devido à alteração dos códigos e iremos partilhar ao final do dia de hoje com a equipa de tecnologia.
</t>
    </r>
    <r>
      <rPr>
        <b/>
        <sz val="11"/>
        <color theme="1"/>
        <rFont val="Santander Text"/>
        <family val="2"/>
      </rPr>
      <t xml:space="preserve">2. Tabela de Output de Clientes e Bens Imóveis: </t>
    </r>
    <r>
      <rPr>
        <sz val="11"/>
        <color theme="1"/>
        <rFont val="Santander Text"/>
        <family val="2"/>
      </rPr>
      <t xml:space="preserve">
- Foi concluída e partilhada a especificação dos 4 campos de Risco Físico da Tabela de Clientes e dos 4 campos de Risco Físico da Tabela de Bens Imóveis, devido ao impacto da introdução do novo Input Corporativo de Risco Físico por Zip Code.
</t>
    </r>
    <r>
      <rPr>
        <b/>
        <sz val="11"/>
        <color theme="1"/>
        <rFont val="Santander Text"/>
        <family val="2"/>
      </rPr>
      <t>3. Tabela de Input Marcação Verde:</t>
    </r>
    <r>
      <rPr>
        <sz val="11"/>
        <color theme="1"/>
        <rFont val="Santander Text"/>
        <family val="2"/>
      </rPr>
      <t xml:space="preserve">
- Foram realizadas reunioes com CdG para definir </t>
    </r>
    <r>
      <rPr>
        <i/>
        <sz val="11"/>
        <color theme="1"/>
        <rFont val="Santander Text"/>
        <family val="2"/>
      </rPr>
      <t>ownership</t>
    </r>
    <r>
      <rPr>
        <sz val="11"/>
        <color theme="1"/>
        <rFont val="Santander Text"/>
        <family val="2"/>
      </rPr>
      <t xml:space="preserve"> de requisitos da tabela. Adicionalmente, foi disponibilizada a tecnologia a estrutura da tabela inicio das implementações.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</si>
</sst>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8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7"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52" fillId="3" borderId="50" xfId="0" applyFont="1" applyFill="1" applyBorder="1" applyAlignment="1">
      <alignment horizontal="center"/>
    </xf>
    <xf numFmtId="0" fontId="52" fillId="31" borderId="44" xfId="0" applyFont="1" applyFill="1" applyBorder="1" applyAlignment="1">
      <alignment horizontal="center"/>
    </xf>
    <xf numFmtId="0" fontId="52" fillId="14" borderId="45" xfId="0" applyFont="1" applyFill="1" applyBorder="1" applyAlignment="1">
      <alignment horizontal="center"/>
    </xf>
    <xf numFmtId="0" fontId="52" fillId="3" borderId="44" xfId="0" applyFont="1" applyFill="1" applyBorder="1" applyAlignment="1">
      <alignment horizontal="center"/>
    </xf>
    <xf numFmtId="0" fontId="52" fillId="3" borderId="45" xfId="0" applyFont="1" applyFill="1" applyBorder="1" applyAlignment="1">
      <alignment horizontal="center"/>
    </xf>
    <xf numFmtId="0" fontId="52" fillId="3" borderId="66" xfId="0" applyFont="1" applyFill="1" applyBorder="1" applyAlignment="1">
      <alignment horizontal="center"/>
    </xf>
    <xf numFmtId="0" fontId="52" fillId="31" borderId="54" xfId="0" applyFont="1" applyFill="1" applyBorder="1" applyAlignment="1">
      <alignment horizontal="center"/>
    </xf>
    <xf numFmtId="0" fontId="52" fillId="14" borderId="68" xfId="0" applyFont="1" applyFill="1" applyBorder="1" applyAlignment="1">
      <alignment horizontal="center"/>
    </xf>
    <xf numFmtId="0" fontId="52" fillId="3" borderId="54" xfId="0" applyFont="1" applyFill="1" applyBorder="1" applyAlignment="1">
      <alignment horizontal="center"/>
    </xf>
    <xf numFmtId="0" fontId="52" fillId="3" borderId="68"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indent="3"/>
    </xf>
    <xf numFmtId="0" fontId="76" fillId="3" borderId="49" xfId="0" applyFont="1" applyFill="1" applyBorder="1" applyAlignment="1">
      <alignment horizontal="center"/>
    </xf>
    <xf numFmtId="0" fontId="75" fillId="7" borderId="48" xfId="0" applyFont="1" applyFill="1" applyBorder="1" applyAlignment="1">
      <alignment horizontal="center"/>
    </xf>
    <xf numFmtId="0" fontId="75" fillId="3" borderId="49" xfId="0" applyFont="1" applyFill="1" applyBorder="1" applyAlignment="1">
      <alignment horizontal="center"/>
    </xf>
    <xf numFmtId="0" fontId="52" fillId="3" borderId="51" xfId="0" applyFont="1" applyFill="1" applyBorder="1" applyAlignment="1">
      <alignment horizontal="center"/>
    </xf>
    <xf numFmtId="0" fontId="52" fillId="7" borderId="44" xfId="0" applyFont="1" applyFill="1" applyBorder="1" applyAlignment="1">
      <alignment horizontal="center"/>
    </xf>
    <xf numFmtId="0" fontId="52" fillId="3" borderId="55" xfId="0" applyFont="1" applyFill="1" applyBorder="1" applyAlignment="1">
      <alignment horizontal="center"/>
    </xf>
    <xf numFmtId="0" fontId="52" fillId="7" borderId="54" xfId="0" applyFont="1" applyFill="1" applyBorder="1" applyAlignment="1">
      <alignment horizontal="center"/>
    </xf>
    <xf numFmtId="0" fontId="47"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52" fillId="3" borderId="60"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6" fillId="0" borderId="49" xfId="0" applyFont="1" applyFill="1" applyBorder="1" applyAlignment="1">
      <alignment horizontal="center"/>
    </xf>
    <xf numFmtId="0" fontId="75" fillId="0" borderId="49" xfId="0" applyFont="1" applyFill="1" applyBorder="1" applyAlignment="1">
      <alignment horizontal="center"/>
    </xf>
    <xf numFmtId="0" fontId="52" fillId="0" borderId="50" xfId="0" applyFont="1" applyFill="1" applyBorder="1" applyAlignment="1">
      <alignment horizontal="center"/>
    </xf>
    <xf numFmtId="0" fontId="52" fillId="0" borderId="44" xfId="0" applyFont="1" applyFill="1" applyBorder="1" applyAlignment="1">
      <alignment horizontal="center"/>
    </xf>
    <xf numFmtId="0" fontId="52" fillId="0" borderId="45" xfId="0" applyFont="1" applyFill="1" applyBorder="1" applyAlignment="1">
      <alignment horizontal="center"/>
    </xf>
    <xf numFmtId="0" fontId="52" fillId="0" borderId="51" xfId="0" applyFont="1" applyFill="1" applyBorder="1" applyAlignment="1">
      <alignment horizontal="center"/>
    </xf>
    <xf numFmtId="0" fontId="52" fillId="0" borderId="66" xfId="0" applyFont="1" applyFill="1" applyBorder="1" applyAlignment="1">
      <alignment horizontal="center"/>
    </xf>
    <xf numFmtId="0" fontId="52" fillId="0" borderId="54" xfId="0" applyFont="1" applyFill="1" applyBorder="1" applyAlignment="1">
      <alignment horizontal="center"/>
    </xf>
    <xf numFmtId="0" fontId="52" fillId="0" borderId="68" xfId="0" applyFont="1" applyFill="1" applyBorder="1" applyAlignment="1">
      <alignment horizontal="center"/>
    </xf>
    <xf numFmtId="0" fontId="52" fillId="0" borderId="55"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8" fillId="0" borderId="0" xfId="0" applyFont="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8"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80"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cellXfs>
  <cellStyles count="4">
    <cellStyle name="Normal" xfId="0" builtinId="0"/>
    <cellStyle name="Normal 2" xfId="3"/>
    <cellStyle name="Normal 3" xfId="2"/>
    <cellStyle name="Percent" xfId="1" builtinId="5"/>
  </cellStyles>
  <dxfs count="491">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1"/>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c:v>
                </c:pt>
              </c:strCache>
            </c:strRef>
          </c:cat>
          <c:val>
            <c:numRef>
              <c:f>'Aux - Pivots2'!$C$67:$C$70</c:f>
              <c:numCache>
                <c:formatCode>General</c:formatCode>
                <c:ptCount val="3"/>
                <c:pt idx="0">
                  <c:v>12</c:v>
                </c:pt>
                <c:pt idx="1">
                  <c:v>144</c:v>
                </c:pt>
                <c:pt idx="2">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42</c:v>
                </c:pt>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51</c:v>
                </c:pt>
                <c:pt idx="6">
                  <c:v>21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12</c:v>
                </c:pt>
                <c:pt idx="1">
                  <c:v>21</c:v>
                </c:pt>
                <c:pt idx="2">
                  <c:v>14</c:v>
                </c:pt>
                <c:pt idx="4">
                  <c:v>1</c:v>
                </c:pt>
                <c:pt idx="5">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4</c:v>
                </c:pt>
                <c:pt idx="1">
                  <c:v>3</c:v>
                </c:pt>
                <c:pt idx="2">
                  <c:v>9</c:v>
                </c:pt>
                <c:pt idx="4">
                  <c:v>1</c:v>
                </c:pt>
                <c:pt idx="5">
                  <c:v>4</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pt idx="5">
                  <c:v>44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6. Em implementação </c:v>
                </c:pt>
                <c:pt idx="1">
                  <c:v>7. Por iniciar</c:v>
                </c:pt>
              </c:strCache>
            </c:strRef>
          </c:cat>
          <c:val>
            <c:numRef>
              <c:f>'Aux - Pivots2'!$C$173:$C$175</c:f>
              <c:numCache>
                <c:formatCode>General</c:formatCode>
                <c:ptCount val="2"/>
                <c:pt idx="0">
                  <c:v>50</c:v>
                </c:pt>
                <c:pt idx="1">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12</xdr:row>
      <xdr:rowOff>44823</xdr:rowOff>
    </xdr:from>
    <xdr:to>
      <xdr:col>20</xdr:col>
      <xdr:colOff>617327</xdr:colOff>
      <xdr:row>13</xdr:row>
      <xdr:rowOff>209099</xdr:rowOff>
    </xdr:to>
    <xdr:sp macro="" textlink="">
      <xdr:nvSpPr>
        <xdr:cNvPr id="63" name="Rectangle 62"/>
        <xdr:cNvSpPr/>
      </xdr:nvSpPr>
      <xdr:spPr>
        <a:xfrm>
          <a:off x="17017836" y="2588558"/>
          <a:ext cx="1215138" cy="3996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14</xdr:row>
      <xdr:rowOff>31935</xdr:rowOff>
    </xdr:from>
    <xdr:to>
      <xdr:col>20</xdr:col>
      <xdr:colOff>612843</xdr:colOff>
      <xdr:row>14</xdr:row>
      <xdr:rowOff>229935</xdr:rowOff>
    </xdr:to>
    <xdr:sp macro="" textlink="">
      <xdr:nvSpPr>
        <xdr:cNvPr id="64" name="Rectangle 63"/>
        <xdr:cNvSpPr/>
      </xdr:nvSpPr>
      <xdr:spPr>
        <a:xfrm>
          <a:off x="17013352" y="3046317"/>
          <a:ext cx="121513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95.542205092592"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95.54221342592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95.54221527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95.5422171296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95.5422190972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95.54222083333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95.54222256944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95.54223240741"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2.2 Em especificação"/>
        <s v="2.1 Em Teste"/>
        <s v="3. Pendente de outros desenvolvimentos"/>
        <s v="4. Validação EF"/>
        <s v="7. Por iniciar"/>
        <s v="2.2 Em Re-especificação" u="1"/>
        <e v="#N/A" u="1"/>
        <s v="5. Em Correção" u="1"/>
        <s v="6. Em implementação (re-especifica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6. Em implementação "/>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6. Em implementação "/>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6. Em implementação "/>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6. Em implementação "/>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2"/>
    <s v="5. Em Correção"/>
    <s v="Package 1"/>
    <s v="Package 1"/>
    <m/>
    <s v=""/>
    <s v=""/>
    <s v=""/>
    <m/>
    <m/>
    <m/>
    <m/>
    <m/>
    <x v="0"/>
    <s v="HF"/>
  </r>
  <r>
    <x v="0"/>
    <x v="2"/>
    <x v="0"/>
    <s v="modesg_param_sfics_taxon_europeia"/>
    <s v="n.a."/>
    <x v="3"/>
    <s v="4. Validação EF"/>
    <s v="Package X"/>
    <s v="Package X"/>
    <m/>
    <s v=""/>
    <s v=""/>
    <s v=""/>
    <m/>
    <m/>
    <m/>
    <m/>
    <m/>
    <x v="0"/>
    <s v="RC"/>
  </r>
  <r>
    <x v="0"/>
    <x v="2"/>
    <x v="1"/>
    <s v="modesg_param_sfics_taxon_europeia"/>
    <s v="ref_date"/>
    <x v="3"/>
    <s v="4. Validação EF"/>
    <s v="Package X"/>
    <s v="Package X"/>
    <m/>
    <s v=""/>
    <s v=""/>
    <s v=""/>
    <m/>
    <m/>
    <m/>
    <m/>
    <m/>
    <x v="0"/>
    <s v="RC"/>
  </r>
  <r>
    <x v="0"/>
    <x v="2"/>
    <x v="1"/>
    <s v="modesg_param_sfics_taxon_europeia"/>
    <s v="cod_regra"/>
    <x v="3"/>
    <s v="4. Validação EF"/>
    <s v="Package X"/>
    <s v="Package X"/>
    <m/>
    <s v=""/>
    <s v=""/>
    <s v=""/>
    <m/>
    <m/>
    <m/>
    <m/>
    <m/>
    <x v="0"/>
    <s v="RC"/>
  </r>
  <r>
    <x v="0"/>
    <x v="2"/>
    <x v="1"/>
    <s v="modesg_param_sfics_taxon_europeia"/>
    <s v="dscrc"/>
    <x v="3"/>
    <s v="4. Validação EF"/>
    <s v="Package X"/>
    <s v="Package X"/>
    <m/>
    <s v=""/>
    <s v=""/>
    <s v=""/>
    <m/>
    <m/>
    <m/>
    <m/>
    <m/>
    <x v="0"/>
    <s v="RC"/>
  </r>
  <r>
    <x v="0"/>
    <x v="2"/>
    <x v="1"/>
    <s v="modesg_param_sfics_taxon_europeia"/>
    <s v="comite"/>
    <x v="3"/>
    <s v="4. Validação EF"/>
    <s v="Package X"/>
    <s v="Package X"/>
    <m/>
    <s v=""/>
    <s v=""/>
    <s v=""/>
    <m/>
    <m/>
    <m/>
    <m/>
    <m/>
    <x v="0"/>
    <s v="RC"/>
  </r>
  <r>
    <x v="0"/>
    <x v="2"/>
    <x v="1"/>
    <s v="modesg_param_sfics_taxon_europeia"/>
    <s v="data_aprvc"/>
    <x v="3"/>
    <s v="4. Validação EF"/>
    <s v="Package X"/>
    <s v="Package X"/>
    <m/>
    <s v=""/>
    <s v=""/>
    <s v=""/>
    <m/>
    <m/>
    <m/>
    <m/>
    <m/>
    <x v="0"/>
    <s v="RC"/>
  </r>
  <r>
    <x v="0"/>
    <x v="2"/>
    <x v="1"/>
    <s v="modesg_param_sfics_taxon_europeia"/>
    <s v="data_inicial"/>
    <x v="3"/>
    <s v="4. Validação EF"/>
    <s v="Package X"/>
    <s v="Package X"/>
    <m/>
    <s v=""/>
    <s v=""/>
    <s v=""/>
    <m/>
    <m/>
    <m/>
    <m/>
    <m/>
    <x v="0"/>
    <s v="RC"/>
  </r>
  <r>
    <x v="0"/>
    <x v="2"/>
    <x v="1"/>
    <s v="modesg_param_sfics_taxon_europeia"/>
    <s v="data_final"/>
    <x v="3"/>
    <s v="4. Validação EF"/>
    <s v="Package X"/>
    <s v="Package X"/>
    <m/>
    <s v=""/>
    <s v=""/>
    <s v=""/>
    <m/>
    <m/>
    <m/>
    <m/>
    <m/>
    <x v="0"/>
    <s v="RC"/>
  </r>
  <r>
    <x v="0"/>
    <x v="2"/>
    <x v="1"/>
    <s v="modesg_param_sfics_taxon_europeia"/>
    <s v="zcliente"/>
    <x v="3"/>
    <s v="4. Validação EF"/>
    <s v="Package X"/>
    <s v="Package X"/>
    <m/>
    <s v=""/>
    <s v=""/>
    <s v=""/>
    <m/>
    <m/>
    <m/>
    <m/>
    <m/>
    <x v="0"/>
    <s v="RC"/>
  </r>
  <r>
    <x v="0"/>
    <x v="2"/>
    <x v="1"/>
    <s v="modesg_param_sfics_taxon_europeia"/>
    <s v="contraparte"/>
    <x v="3"/>
    <s v="4. Validação EF"/>
    <s v="Package X"/>
    <s v="Package X"/>
    <m/>
    <s v=""/>
    <s v=""/>
    <s v=""/>
    <m/>
    <m/>
    <m/>
    <m/>
    <m/>
    <x v="2"/>
    <s v="RC"/>
  </r>
  <r>
    <x v="0"/>
    <x v="2"/>
    <x v="1"/>
    <s v="modesg_param_sfics_taxon_europeia"/>
    <s v="cempresa"/>
    <x v="3"/>
    <s v="4. Validação EF"/>
    <s v="Package X"/>
    <s v="Package X"/>
    <m/>
    <s v=""/>
    <s v=""/>
    <s v=""/>
    <m/>
    <m/>
    <m/>
    <m/>
    <m/>
    <x v="0"/>
    <s v="RC"/>
  </r>
  <r>
    <x v="0"/>
    <x v="2"/>
    <x v="1"/>
    <s v="modesg_param_sfics_taxon_europeia"/>
    <s v="cbalcao"/>
    <x v="3"/>
    <s v="4. Validação EF"/>
    <s v="Package X"/>
    <s v="Package X"/>
    <m/>
    <s v=""/>
    <s v=""/>
    <s v=""/>
    <m/>
    <m/>
    <m/>
    <m/>
    <m/>
    <x v="0"/>
    <s v="RC"/>
  </r>
  <r>
    <x v="0"/>
    <x v="2"/>
    <x v="1"/>
    <s v="modesg_param_sfics_taxon_europeia"/>
    <s v="cnumecta"/>
    <x v="3"/>
    <s v="4. Validação EF"/>
    <s v="Package X"/>
    <s v="Package X"/>
    <m/>
    <s v=""/>
    <s v=""/>
    <s v=""/>
    <m/>
    <m/>
    <m/>
    <m/>
    <m/>
    <x v="0"/>
    <s v="RC"/>
  </r>
  <r>
    <x v="0"/>
    <x v="2"/>
    <x v="1"/>
    <s v="modesg_param_sfics_taxon_europeia"/>
    <s v="zdeposit"/>
    <x v="3"/>
    <s v="4. Validação EF"/>
    <s v="Package X"/>
    <s v="Package X"/>
    <m/>
    <s v=""/>
    <s v=""/>
    <s v=""/>
    <m/>
    <m/>
    <m/>
    <m/>
    <m/>
    <x v="0"/>
    <s v="RC"/>
  </r>
  <r>
    <x v="0"/>
    <x v="2"/>
    <x v="1"/>
    <s v="modesg_param_sfics_taxon_europeia"/>
    <s v="ckmetamis"/>
    <x v="3"/>
    <s v="4. Validação EF"/>
    <s v="Package X"/>
    <s v="Package X"/>
    <m/>
    <s v=""/>
    <s v=""/>
    <s v=""/>
    <m/>
    <m/>
    <m/>
    <m/>
    <m/>
    <x v="0"/>
    <s v="RC"/>
  </r>
  <r>
    <x v="0"/>
    <x v="2"/>
    <x v="1"/>
    <s v="modesg_param_sfics_taxon_europeia"/>
    <s v="ckprodmi"/>
    <x v="3"/>
    <s v="4. Validação EF"/>
    <s v="Package X"/>
    <s v="Package X"/>
    <m/>
    <s v=""/>
    <s v=""/>
    <s v=""/>
    <m/>
    <m/>
    <m/>
    <m/>
    <m/>
    <x v="0"/>
    <s v="RC"/>
  </r>
  <r>
    <x v="0"/>
    <x v="2"/>
    <x v="1"/>
    <s v="modesg_param_sfics_taxon_europeia"/>
    <s v="prdt_sprdt"/>
    <x v="3"/>
    <s v="4. Validação EF"/>
    <s v="Package X"/>
    <s v="Package X"/>
    <m/>
    <s v=""/>
    <s v=""/>
    <s v=""/>
    <m/>
    <m/>
    <m/>
    <m/>
    <m/>
    <x v="2"/>
    <s v="RC"/>
  </r>
  <r>
    <x v="0"/>
    <x v="2"/>
    <x v="1"/>
    <s v="modesg_param_sfics_taxon_europeia"/>
    <s v="cmetanseg"/>
    <x v="3"/>
    <s v="4. Validação EF"/>
    <s v="Package X"/>
    <s v="Package X"/>
    <m/>
    <s v=""/>
    <s v=""/>
    <s v=""/>
    <m/>
    <m/>
    <m/>
    <m/>
    <m/>
    <x v="0"/>
    <s v="RC"/>
  </r>
  <r>
    <x v="0"/>
    <x v="2"/>
    <x v="1"/>
    <s v="modesg_param_sfics_taxon_europeia"/>
    <s v="epc"/>
    <x v="3"/>
    <s v="4. Validação EF"/>
    <s v="Package X"/>
    <s v="Package X"/>
    <m/>
    <s v=""/>
    <s v=""/>
    <s v=""/>
    <m/>
    <m/>
    <m/>
    <m/>
    <m/>
    <x v="0"/>
    <s v="RC"/>
  </r>
  <r>
    <x v="0"/>
    <x v="2"/>
    <x v="1"/>
    <s v="modesg_param_sfics_taxon_europeia"/>
    <s v="quality_score"/>
    <x v="3"/>
    <s v="4. Validação EF"/>
    <s v="Package X"/>
    <s v="Package X"/>
    <m/>
    <s v=""/>
    <s v=""/>
    <s v=""/>
    <m/>
    <m/>
    <m/>
    <m/>
    <m/>
    <x v="2"/>
    <s v="RC"/>
  </r>
  <r>
    <x v="0"/>
    <x v="2"/>
    <x v="1"/>
    <s v="modesg_param_sfics_taxon_europeia"/>
    <s v="nzeb"/>
    <x v="3"/>
    <s v="4. Validação EF"/>
    <s v="Package X"/>
    <s v="Package X"/>
    <m/>
    <s v=""/>
    <s v=""/>
    <s v=""/>
    <m/>
    <m/>
    <m/>
    <m/>
    <m/>
    <x v="2"/>
    <s v="RC"/>
  </r>
  <r>
    <x v="0"/>
    <x v="2"/>
    <x v="1"/>
    <s v="modesg_param_sfics_taxon_europeia"/>
    <s v="RIEE"/>
    <x v="3"/>
    <s v="4. Validação EF"/>
    <s v="Package X"/>
    <s v="Package X"/>
    <m/>
    <s v=""/>
    <s v=""/>
    <s v=""/>
    <m/>
    <m/>
    <m/>
    <m/>
    <m/>
    <x v="2"/>
    <s v="RC"/>
  </r>
  <r>
    <x v="0"/>
    <x v="2"/>
    <x v="1"/>
    <s v="modesg_param_sfics_taxon_europeia"/>
    <s v="RNT"/>
    <x v="3"/>
    <s v="4. Validação EF"/>
    <s v="Package X"/>
    <s v="Package X"/>
    <m/>
    <s v=""/>
    <s v=""/>
    <s v=""/>
    <m/>
    <m/>
    <m/>
    <m/>
    <m/>
    <x v="2"/>
    <s v="RC"/>
  </r>
  <r>
    <x v="0"/>
    <x v="2"/>
    <x v="1"/>
    <s v="modesg_param_sfics_taxon_europeia"/>
    <s v="flg_rsc_fsc_crnc"/>
    <x v="3"/>
    <s v="4. Validação EF"/>
    <s v="Package X"/>
    <s v="Package X"/>
    <m/>
    <s v=""/>
    <s v=""/>
    <s v=""/>
    <m/>
    <m/>
    <m/>
    <m/>
    <m/>
    <x v="2"/>
    <s v="RC"/>
  </r>
  <r>
    <x v="0"/>
    <x v="2"/>
    <x v="1"/>
    <s v="modesg_param_sfics_taxon_europeia"/>
    <s v="flg_rsc_fsc_agd"/>
    <x v="3"/>
    <s v="4. Validação EF"/>
    <s v="Package X"/>
    <s v="Package X"/>
    <m/>
    <s v=""/>
    <s v=""/>
    <s v=""/>
    <m/>
    <m/>
    <m/>
    <m/>
    <m/>
    <x v="2"/>
    <s v="RC"/>
  </r>
  <r>
    <x v="0"/>
    <x v="2"/>
    <x v="1"/>
    <s v="modesg_param_sfics_taxon_europeia"/>
    <s v="construction_year"/>
    <x v="3"/>
    <s v="4. Validação EF"/>
    <s v="Package X"/>
    <s v="Package X"/>
    <m/>
    <s v=""/>
    <s v=""/>
    <s v=""/>
    <m/>
    <m/>
    <m/>
    <m/>
    <m/>
    <x v="2"/>
    <s v="RC"/>
  </r>
  <r>
    <x v="0"/>
    <x v="2"/>
    <x v="1"/>
    <s v="modesg_param_sfics_taxon_europeia"/>
    <s v="property_purpose_code"/>
    <x v="3"/>
    <s v="4. Validação EF"/>
    <s v="Package X"/>
    <s v="Package X"/>
    <m/>
    <s v=""/>
    <s v=""/>
    <s v=""/>
    <m/>
    <m/>
    <m/>
    <m/>
    <m/>
    <x v="2"/>
    <s v="RC"/>
  </r>
  <r>
    <x v="0"/>
    <x v="2"/>
    <x v="1"/>
    <s v="modesg_param_sfics_taxon_europeia"/>
    <s v="cfamilia"/>
    <x v="3"/>
    <s v="4. Validação EF"/>
    <s v="Package X"/>
    <s v="Package X"/>
    <m/>
    <s v=""/>
    <s v=""/>
    <s v=""/>
    <m/>
    <m/>
    <m/>
    <m/>
    <m/>
    <x v="2"/>
    <s v="RC"/>
  </r>
  <r>
    <x v="0"/>
    <x v="2"/>
    <x v="1"/>
    <s v="modesg_param_sfics_taxon_europeia"/>
    <s v="cfinalidad"/>
    <x v="3"/>
    <s v="4. Validação EF"/>
    <s v="Package X"/>
    <s v="Package X"/>
    <m/>
    <s v=""/>
    <s v=""/>
    <s v=""/>
    <m/>
    <m/>
    <m/>
    <m/>
    <m/>
    <x v="0"/>
    <s v="RC"/>
  </r>
  <r>
    <x v="0"/>
    <x v="2"/>
    <x v="1"/>
    <s v="modesg_param_sfics_taxon_europeia"/>
    <s v="flag_project_finance"/>
    <x v="3"/>
    <s v="4. Validação EF"/>
    <s v="Package X"/>
    <s v="Package X"/>
    <m/>
    <s v=""/>
    <s v=""/>
    <s v=""/>
    <m/>
    <m/>
    <m/>
    <m/>
    <m/>
    <x v="0"/>
    <s v="RC"/>
  </r>
  <r>
    <x v="0"/>
    <x v="2"/>
    <x v="1"/>
    <s v="modesg_param_sfics_taxon_europeia"/>
    <s v="tipo_eqp"/>
    <x v="3"/>
    <s v="4. Validação EF"/>
    <s v="Package X"/>
    <s v="Package X"/>
    <m/>
    <s v=""/>
    <s v=""/>
    <s v=""/>
    <m/>
    <m/>
    <m/>
    <m/>
    <m/>
    <x v="2"/>
    <s v="RC"/>
  </r>
  <r>
    <x v="0"/>
    <x v="2"/>
    <x v="1"/>
    <s v="modesg_param_sfics_taxon_europeia"/>
    <s v="combustivel"/>
    <x v="3"/>
    <s v="4. Validação EF"/>
    <s v="Package X"/>
    <s v="Package X"/>
    <m/>
    <s v=""/>
    <s v=""/>
    <s v=""/>
    <m/>
    <m/>
    <m/>
    <m/>
    <m/>
    <x v="1"/>
    <s v="RC"/>
  </r>
  <r>
    <x v="0"/>
    <x v="2"/>
    <x v="1"/>
    <s v="modesg_param_sfics_taxon_europeia"/>
    <s v="co2"/>
    <x v="3"/>
    <s v="4. Validação EF"/>
    <s v="Package X"/>
    <s v="Package X"/>
    <m/>
    <s v=""/>
    <s v=""/>
    <s v=""/>
    <m/>
    <m/>
    <m/>
    <m/>
    <m/>
    <x v="1"/>
    <s v="RC"/>
  </r>
  <r>
    <x v="0"/>
    <x v="2"/>
    <x v="1"/>
    <s v="modesg_param_sfics_taxon_europeia"/>
    <s v="cod_lease"/>
    <x v="3"/>
    <s v="4. Validação EF"/>
    <s v="Package X"/>
    <s v="Package X"/>
    <m/>
    <s v=""/>
    <s v=""/>
    <s v=""/>
    <m/>
    <m/>
    <m/>
    <m/>
    <m/>
    <x v="0"/>
    <s v="RC"/>
  </r>
  <r>
    <x v="0"/>
    <x v="2"/>
    <x v="1"/>
    <s v="modesg_param_sfics_taxon_europeia"/>
    <s v="dabertur"/>
    <x v="3"/>
    <s v="4. Validação EF"/>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flg_csrd"/>
    <x v="3"/>
    <s v="4. Validação EF"/>
    <s v="Package X"/>
    <s v="Package X"/>
    <m/>
    <s v=""/>
    <s v=""/>
    <s v=""/>
    <m/>
    <m/>
    <m/>
    <m/>
    <m/>
    <x v="2"/>
    <s v="RC"/>
  </r>
  <r>
    <x v="0"/>
    <x v="2"/>
    <x v="1"/>
    <s v="modesg_param_sfics_taxon_europeia"/>
    <s v="nome_ctgr_sfics"/>
    <x v="3"/>
    <s v="4. Validação EF"/>
    <s v="Package X"/>
    <s v="Package X"/>
    <m/>
    <s v=""/>
    <s v=""/>
    <s v=""/>
    <m/>
    <m/>
    <m/>
    <m/>
    <m/>
    <x v="0"/>
    <s v="RC"/>
  </r>
  <r>
    <x v="0"/>
    <x v="2"/>
    <x v="1"/>
    <s v="modesg_param_sfics_taxon_europeia"/>
    <s v="montante_pndrc"/>
    <x v="3"/>
    <s v="4. Validação EF"/>
    <s v="Package X"/>
    <s v="Package X"/>
    <m/>
    <s v=""/>
    <s v=""/>
    <s v=""/>
    <m/>
    <m/>
    <m/>
    <m/>
    <m/>
    <x v="0"/>
    <s v="RC"/>
  </r>
  <r>
    <x v="0"/>
    <x v="2"/>
    <x v="1"/>
    <s v="modesg_param_sfics_taxon_europeia"/>
    <s v="nome_purpose_esg_alinh_tax"/>
    <x v="3"/>
    <s v="4. Validação EF"/>
    <s v="Package X"/>
    <s v="Package X"/>
    <m/>
    <s v=""/>
    <s v=""/>
    <s v=""/>
    <m/>
    <m/>
    <m/>
    <m/>
    <m/>
    <x v="1"/>
    <s v="RC"/>
  </r>
  <r>
    <x v="0"/>
    <x v="2"/>
    <x v="1"/>
    <s v="modesg_param_sfics_taxon_europeia"/>
    <s v="nome_purpose_esg_nalinh_tax"/>
    <x v="3"/>
    <s v="4. Validação EF"/>
    <s v="Package X"/>
    <s v="Package X"/>
    <m/>
    <s v=""/>
    <s v=""/>
    <s v=""/>
    <m/>
    <m/>
    <m/>
    <m/>
    <m/>
    <x v="2"/>
    <s v="RC"/>
  </r>
  <r>
    <x v="0"/>
    <x v="2"/>
    <x v="1"/>
    <s v="modesg_param_sfics_taxon_europeia"/>
    <s v="nome_general_specific_purpose"/>
    <x v="3"/>
    <s v="4. Validação EF"/>
    <s v="Package X"/>
    <s v="Package X"/>
    <m/>
    <s v=""/>
    <s v=""/>
    <s v=""/>
    <m/>
    <m/>
    <m/>
    <m/>
    <m/>
    <x v="0"/>
    <s v="RC"/>
  </r>
  <r>
    <x v="0"/>
    <x v="2"/>
    <x v="1"/>
    <s v="modesg_param_sfics_taxon_europeia"/>
    <s v="nome_specific_eligible"/>
    <x v="3"/>
    <s v="4. Validação EF"/>
    <s v="Package X"/>
    <s v="Package X"/>
    <m/>
    <s v=""/>
    <s v=""/>
    <s v=""/>
    <m/>
    <m/>
    <m/>
    <m/>
    <m/>
    <x v="0"/>
    <s v="RC"/>
  </r>
  <r>
    <x v="0"/>
    <x v="2"/>
    <x v="1"/>
    <s v="modesg_param_sfics_taxon_europeia"/>
    <s v="nome_specific_sustainable"/>
    <x v="3"/>
    <s v="4. Validação EF"/>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0"/>
    <s v="7. Por iniciar"/>
    <s v="Package 2"/>
    <s v="Package X"/>
    <m/>
    <s v=""/>
    <s v=""/>
    <s v=""/>
    <m/>
    <m/>
    <s v="Novo Projeto - Em especificação"/>
    <m/>
    <m/>
    <x v="3"/>
    <s v="HF"/>
  </r>
  <r>
    <x v="0"/>
    <x v="2"/>
    <x v="1"/>
    <s v="modesg_inp_risco_fisico_zipcode"/>
    <s v="localizacao"/>
    <x v="0"/>
    <s v="7. Por iniciar"/>
    <s v="Package 2"/>
    <s v="Package X"/>
    <m/>
    <s v=""/>
    <s v=""/>
    <s v=""/>
    <m/>
    <m/>
    <s v="Novo Projeto - Em especificação"/>
    <m/>
    <m/>
    <x v="3"/>
    <s v="HF"/>
  </r>
  <r>
    <x v="0"/>
    <x v="2"/>
    <x v="1"/>
    <s v="modesg_inp_risco_fisico_zipcode"/>
    <s v="cod_nace_esg"/>
    <x v="0"/>
    <s v="7. Por iniciar"/>
    <s v="Package 2"/>
    <s v="Package X"/>
    <m/>
    <s v=""/>
    <s v=""/>
    <s v=""/>
    <m/>
    <m/>
    <s v="Novo Projeto - Em especificação"/>
    <m/>
    <m/>
    <x v="3"/>
    <s v="HF"/>
  </r>
  <r>
    <x v="0"/>
    <x v="2"/>
    <x v="1"/>
    <s v="modesg_inp_risco_fisico_zipcode"/>
    <s v="flg_rsc_fsc_agd"/>
    <x v="0"/>
    <s v="7. Por iniciar"/>
    <s v="Package 2"/>
    <s v="Package X"/>
    <m/>
    <s v=""/>
    <s v=""/>
    <s v=""/>
    <m/>
    <m/>
    <s v="Novo Projeto - Em especificação"/>
    <m/>
    <m/>
    <x v="3"/>
    <s v="HF"/>
  </r>
  <r>
    <x v="0"/>
    <x v="2"/>
    <x v="1"/>
    <s v="modesg_inp_risco_fisico_zipcode"/>
    <s v="flg_rsc_fsc_crnc"/>
    <x v="0"/>
    <s v="7. Por iniciar"/>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0"/>
    <s v="2.2 Em especificação"/>
    <s v="Package 2"/>
    <s v="Package X"/>
    <m/>
    <s v=""/>
    <s v=""/>
    <s v=""/>
    <m/>
    <m/>
    <s v="Novo Projeto - Em especificação"/>
    <m/>
    <m/>
    <x v="0"/>
    <s v="HF"/>
  </r>
  <r>
    <x v="0"/>
    <x v="3"/>
    <x v="1"/>
    <s v="modesg_out_bens_imoveis"/>
    <s v="flg_rsc_fsc_crnc"/>
    <x v="0"/>
    <s v="2.2 Em especificação"/>
    <s v="Package 2"/>
    <s v="Package X"/>
    <m/>
    <s v=""/>
    <s v=""/>
    <s v=""/>
    <m/>
    <m/>
    <s v="Novo Projeto - Em especificação"/>
    <m/>
    <m/>
    <x v="0"/>
    <s v="HF"/>
  </r>
  <r>
    <x v="0"/>
    <x v="3"/>
    <x v="1"/>
    <s v="modesg_out_bens_imoveis"/>
    <s v="origem_flg_rsc_fsc_agd"/>
    <x v="0"/>
    <s v="2.2 Em especificação"/>
    <s v="Package 2"/>
    <s v="Package X"/>
    <m/>
    <s v=""/>
    <s v=""/>
    <s v=""/>
    <m/>
    <m/>
    <s v="Novo Projeto - Em especificação"/>
    <m/>
    <m/>
    <x v="0"/>
    <m/>
  </r>
  <r>
    <x v="0"/>
    <x v="3"/>
    <x v="1"/>
    <s v="modesg_out_bens_imoveis"/>
    <s v="origem_flg_rsc_fsc_crnc"/>
    <x v="0"/>
    <s v="2.2 Em especificação"/>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4"/>
    <s v="6. Em implementação "/>
    <s v="Package 1"/>
    <s v="Package X"/>
    <m/>
    <s v=""/>
    <s v=""/>
    <s v=""/>
    <m/>
    <m/>
    <m/>
    <m/>
    <m/>
    <x v="3"/>
    <m/>
  </r>
  <r>
    <x v="0"/>
    <x v="3"/>
    <x v="1"/>
    <s v="modesg_out_empr_info_nfin"/>
    <s v="ppc_turnover_own_prfrmnce_algnd"/>
    <x v="4"/>
    <s v="6. Em implementação "/>
    <s v="Package 1"/>
    <s v="Package X"/>
    <m/>
    <s v=""/>
    <s v=""/>
    <s v=""/>
    <m/>
    <m/>
    <m/>
    <m/>
    <m/>
    <x v="3"/>
    <m/>
  </r>
  <r>
    <x v="0"/>
    <x v="3"/>
    <x v="1"/>
    <s v="modesg_out_empr_info_nfin"/>
    <s v="ppc_capex_ttl_elgbl"/>
    <x v="4"/>
    <s v="6. Em implementação "/>
    <s v="Package 1"/>
    <s v="Package X"/>
    <m/>
    <s v=""/>
    <s v=""/>
    <s v=""/>
    <m/>
    <m/>
    <m/>
    <m/>
    <m/>
    <x v="3"/>
    <m/>
  </r>
  <r>
    <x v="0"/>
    <x v="3"/>
    <x v="1"/>
    <s v="modesg_out_empr_info_nfin"/>
    <s v="ppc_capex_own_prfrmnce_algnd"/>
    <x v="4"/>
    <s v="6. Em implementação "/>
    <s v="Package 1"/>
    <s v="Package X"/>
    <m/>
    <s v=""/>
    <s v=""/>
    <s v=""/>
    <m/>
    <m/>
    <m/>
    <m/>
    <m/>
    <x v="3"/>
    <m/>
  </r>
  <r>
    <x v="0"/>
    <x v="3"/>
    <x v="1"/>
    <s v="modesg_out_empr_info_nfin"/>
    <s v="bio_trnvr_ttl_elgbl"/>
    <x v="4"/>
    <s v="6. Em implementação "/>
    <s v="Package 1"/>
    <s v="Package X"/>
    <m/>
    <s v=""/>
    <s v=""/>
    <s v=""/>
    <m/>
    <m/>
    <m/>
    <m/>
    <m/>
    <x v="3"/>
    <m/>
  </r>
  <r>
    <x v="0"/>
    <x v="3"/>
    <x v="1"/>
    <s v="modesg_out_empr_info_nfin"/>
    <s v="bio_turnover_own_prfrmnce_algnd"/>
    <x v="4"/>
    <s v="6. Em implementação "/>
    <s v="Package 1"/>
    <s v="Package X"/>
    <m/>
    <s v=""/>
    <s v=""/>
    <s v=""/>
    <m/>
    <m/>
    <m/>
    <m/>
    <m/>
    <x v="3"/>
    <m/>
  </r>
  <r>
    <x v="0"/>
    <x v="3"/>
    <x v="1"/>
    <s v="modesg_out_empr_info_nfin"/>
    <s v="bio_capex_ttl_elgbl"/>
    <x v="4"/>
    <s v="6. Em implementação "/>
    <s v="Package 1"/>
    <s v="Package X"/>
    <m/>
    <s v=""/>
    <s v=""/>
    <s v=""/>
    <m/>
    <m/>
    <m/>
    <m/>
    <m/>
    <x v="3"/>
    <m/>
  </r>
  <r>
    <x v="0"/>
    <x v="3"/>
    <x v="1"/>
    <s v="modesg_out_empr_info_nfin"/>
    <s v="bio_capex_own_prfrmnce_algnd"/>
    <x v="4"/>
    <s v="6. Em implementação "/>
    <s v="Package 1"/>
    <s v="Package X"/>
    <m/>
    <s v=""/>
    <s v=""/>
    <s v=""/>
    <m/>
    <m/>
    <m/>
    <m/>
    <m/>
    <x v="3"/>
    <m/>
  </r>
  <r>
    <x v="0"/>
    <x v="3"/>
    <x v="1"/>
    <s v="modesg_out_empr_info_nfin"/>
    <s v="wtr_trnvr_ttl_elgbl"/>
    <x v="4"/>
    <s v="6. Em implementação "/>
    <s v="Package 1"/>
    <s v="Package X"/>
    <m/>
    <s v=""/>
    <s v=""/>
    <s v=""/>
    <m/>
    <m/>
    <m/>
    <m/>
    <m/>
    <x v="3"/>
    <m/>
  </r>
  <r>
    <x v="0"/>
    <x v="3"/>
    <x v="1"/>
    <s v="modesg_out_empr_info_nfin"/>
    <s v="wtr_trnvr_enblng_alignd"/>
    <x v="4"/>
    <s v="6. Em implementação "/>
    <s v="Package 1"/>
    <s v="Package X"/>
    <m/>
    <s v=""/>
    <s v=""/>
    <s v=""/>
    <m/>
    <m/>
    <m/>
    <m/>
    <m/>
    <x v="3"/>
    <m/>
  </r>
  <r>
    <x v="0"/>
    <x v="3"/>
    <x v="1"/>
    <s v="modesg_out_empr_info_nfin"/>
    <s v="wtr_turnover_own_prfrmnce_algnd"/>
    <x v="4"/>
    <s v="6. Em implementação "/>
    <s v="Package 1"/>
    <s v="Package X"/>
    <m/>
    <s v=""/>
    <s v=""/>
    <s v=""/>
    <m/>
    <m/>
    <m/>
    <m/>
    <m/>
    <x v="3"/>
    <m/>
  </r>
  <r>
    <x v="0"/>
    <x v="3"/>
    <x v="1"/>
    <s v="modesg_out_empr_info_nfin"/>
    <s v="wtr_capex_ttl_elgbl"/>
    <x v="4"/>
    <s v="6. Em implementação "/>
    <s v="Package 1"/>
    <s v="Package X"/>
    <m/>
    <s v=""/>
    <s v=""/>
    <s v=""/>
    <m/>
    <m/>
    <m/>
    <m/>
    <m/>
    <x v="3"/>
    <m/>
  </r>
  <r>
    <x v="0"/>
    <x v="3"/>
    <x v="1"/>
    <s v="modesg_out_empr_info_nfin"/>
    <s v="wtr_capex_enblng_algnd"/>
    <x v="4"/>
    <s v="6. Em implementação "/>
    <s v="Package 1"/>
    <s v="Package X"/>
    <m/>
    <s v=""/>
    <s v=""/>
    <s v=""/>
    <m/>
    <m/>
    <m/>
    <m/>
    <m/>
    <x v="3"/>
    <m/>
  </r>
  <r>
    <x v="0"/>
    <x v="3"/>
    <x v="1"/>
    <s v="modesg_out_empr_info_nfin"/>
    <s v="wtr_capex_own_prfrmnce_algnd"/>
    <x v="4"/>
    <s v="6. Em implementação "/>
    <s v="Package 1"/>
    <s v="Package X"/>
    <m/>
    <s v=""/>
    <s v=""/>
    <s v=""/>
    <m/>
    <m/>
    <m/>
    <m/>
    <m/>
    <x v="3"/>
    <m/>
  </r>
  <r>
    <x v="0"/>
    <x v="3"/>
    <x v="1"/>
    <s v="modesg_out_empr_info_nfin"/>
    <s v="ce_trnvr_ttl_elgbl"/>
    <x v="4"/>
    <s v="6. Em implementação "/>
    <s v="Package 1"/>
    <s v="Package X"/>
    <m/>
    <s v=""/>
    <s v=""/>
    <s v=""/>
    <m/>
    <m/>
    <m/>
    <m/>
    <m/>
    <x v="3"/>
    <m/>
  </r>
  <r>
    <x v="0"/>
    <x v="3"/>
    <x v="1"/>
    <s v="modesg_out_empr_info_nfin"/>
    <s v="ce_trnvr_enblng_alignd"/>
    <x v="4"/>
    <s v="6. Em implementação "/>
    <s v="Package 1"/>
    <s v="Package X"/>
    <m/>
    <s v=""/>
    <s v=""/>
    <s v=""/>
    <m/>
    <m/>
    <m/>
    <m/>
    <m/>
    <x v="3"/>
    <m/>
  </r>
  <r>
    <x v="0"/>
    <x v="3"/>
    <x v="1"/>
    <s v="modesg_out_empr_info_nfin"/>
    <s v="ce_turnover_own_prfrmnce_algnd"/>
    <x v="4"/>
    <s v="6. Em implementação "/>
    <s v="Package 1"/>
    <s v="Package X"/>
    <m/>
    <s v=""/>
    <s v=""/>
    <s v=""/>
    <m/>
    <m/>
    <m/>
    <m/>
    <m/>
    <x v="3"/>
    <m/>
  </r>
  <r>
    <x v="0"/>
    <x v="3"/>
    <x v="1"/>
    <s v="modesg_out_empr_info_nfin"/>
    <s v="ce_capex_ttl_elgbl"/>
    <x v="4"/>
    <s v="6. Em implementação "/>
    <s v="Package 1"/>
    <s v="Package X"/>
    <m/>
    <s v=""/>
    <s v=""/>
    <s v=""/>
    <m/>
    <m/>
    <m/>
    <m/>
    <m/>
    <x v="3"/>
    <m/>
  </r>
  <r>
    <x v="0"/>
    <x v="3"/>
    <x v="1"/>
    <s v="modesg_out_empr_info_nfin"/>
    <s v="ce_capex_enblng_algnd"/>
    <x v="4"/>
    <s v="6. Em implementação "/>
    <s v="Package 1"/>
    <s v="Package X"/>
    <m/>
    <s v=""/>
    <s v=""/>
    <s v=""/>
    <m/>
    <m/>
    <m/>
    <m/>
    <m/>
    <x v="3"/>
    <m/>
  </r>
  <r>
    <x v="0"/>
    <x v="3"/>
    <x v="1"/>
    <s v="modesg_out_empr_info_nfin"/>
    <s v="ce_capex_own_prfrmnce_algnd"/>
    <x v="4"/>
    <s v="6. Em implementação "/>
    <s v="Package 1"/>
    <s v="Package X"/>
    <m/>
    <s v=""/>
    <s v=""/>
    <s v=""/>
    <m/>
    <m/>
    <m/>
    <m/>
    <m/>
    <x v="3"/>
    <m/>
  </r>
  <r>
    <x v="0"/>
    <x v="3"/>
    <x v="1"/>
    <s v="modesg_out_empr_info_nfin"/>
    <s v="cod_nace_esg"/>
    <x v="0"/>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0"/>
    <s v="2.2 Em especificação"/>
    <s v="Package 2"/>
    <s v="Package X"/>
    <m/>
    <s v=""/>
    <s v=""/>
    <s v=""/>
    <m/>
    <m/>
    <s v="Novo Projeto - Em especificação"/>
    <m/>
    <m/>
    <x v="4"/>
    <s v="HF"/>
  </r>
  <r>
    <x v="0"/>
    <x v="3"/>
    <x v="1"/>
    <s v="modesg_out_empr_info_nfin"/>
    <s v="flg_rsc_fsc_crnc"/>
    <x v="0"/>
    <s v="2.2 Em especificação"/>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0"/>
    <s v="2.2 Em especificação"/>
    <s v="Package 2"/>
    <s v="Package X"/>
    <m/>
    <s v=""/>
    <s v=""/>
    <s v=""/>
    <m/>
    <m/>
    <s v="Novo Projeto - Em especificação"/>
    <m/>
    <m/>
    <x v="4"/>
    <s v="HF"/>
  </r>
  <r>
    <x v="0"/>
    <x v="3"/>
    <x v="1"/>
    <s v="modesg_out_empr_info_nfin"/>
    <s v="origem_flg_rsc_fsc_crnc"/>
    <x v="0"/>
    <s v="2.2 Em especificação"/>
    <s v="Package 2"/>
    <s v="Package X"/>
    <m/>
    <s v=""/>
    <s v=""/>
    <s v=""/>
    <m/>
    <m/>
    <s v="Novo Projeto - Em especificação"/>
    <m/>
    <m/>
    <x v="4"/>
    <s v="HF"/>
  </r>
  <r>
    <x v="0"/>
    <x v="3"/>
    <x v="1"/>
    <s v="modesg_out_empr_info_nfin"/>
    <s v="origem_scp1_emss"/>
    <x v="4"/>
    <s v="3. Pendente de outros desenvolvimentos"/>
    <m/>
    <s v="Package X"/>
    <m/>
    <s v=""/>
    <s v=""/>
    <s v=""/>
    <m/>
    <m/>
    <m/>
    <m/>
    <m/>
    <x v="0"/>
    <s v="HF"/>
  </r>
  <r>
    <x v="0"/>
    <x v="3"/>
    <x v="1"/>
    <s v="modesg_out_empr_info_nfin"/>
    <s v="origem_scp2_emss"/>
    <x v="4"/>
    <s v="3. Pendente de outros desenvolvimentos"/>
    <m/>
    <s v="Package X"/>
    <m/>
    <s v=""/>
    <s v=""/>
    <s v=""/>
    <m/>
    <m/>
    <m/>
    <m/>
    <m/>
    <x v="0"/>
    <s v="HF"/>
  </r>
  <r>
    <x v="0"/>
    <x v="3"/>
    <x v="1"/>
    <s v="modesg_out_empr_info_nfin"/>
    <s v="origem_scp3_emss"/>
    <x v="4"/>
    <s v="3. Pendente de outros desenvolvimentos"/>
    <m/>
    <s v="Package X"/>
    <m/>
    <s v=""/>
    <s v=""/>
    <s v=""/>
    <m/>
    <m/>
    <m/>
    <m/>
    <m/>
    <x v="0"/>
    <s v="HF"/>
  </r>
  <r>
    <x v="0"/>
    <x v="3"/>
    <x v="1"/>
    <s v="modesg_out_empr_info_nfin"/>
    <s v="ref_date"/>
    <x v="2"/>
    <s v="1. Concluído"/>
    <m/>
    <m/>
    <m/>
    <s v=""/>
    <s v=""/>
    <s v=""/>
    <m/>
    <m/>
    <m/>
    <m/>
    <m/>
    <x v="0"/>
    <m/>
  </r>
  <r>
    <x v="0"/>
    <x v="3"/>
    <x v="1"/>
    <s v="modesg_out_empr_info_nfin"/>
    <s v="scp1_emss"/>
    <x v="4"/>
    <s v="3. Pendente de outros desenvolvimentos"/>
    <m/>
    <s v="Package X"/>
    <m/>
    <s v=""/>
    <s v=""/>
    <s v=""/>
    <m/>
    <m/>
    <m/>
    <m/>
    <m/>
    <x v="0"/>
    <s v="HF"/>
  </r>
  <r>
    <x v="0"/>
    <x v="3"/>
    <x v="1"/>
    <s v="modesg_out_empr_info_nfin"/>
    <s v="scp2_emss"/>
    <x v="4"/>
    <s v="3. Pendente de outros desenvolvimentos"/>
    <m/>
    <s v="Package X"/>
    <m/>
    <s v=""/>
    <s v=""/>
    <s v=""/>
    <m/>
    <m/>
    <m/>
    <m/>
    <m/>
    <x v="0"/>
    <s v="HF"/>
  </r>
  <r>
    <x v="0"/>
    <x v="3"/>
    <x v="1"/>
    <s v="modesg_out_empr_info_nfin"/>
    <s v="scp3_emss"/>
    <x v="4"/>
    <s v="3. Pendente de outros desenvolvimentos"/>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3"/>
    <s v="4. Validação EF"/>
    <s v="Package X"/>
    <s v="Package X"/>
    <m/>
    <s v=""/>
    <s v=""/>
    <s v=""/>
    <m/>
    <m/>
    <m/>
    <m/>
    <m/>
    <x v="0"/>
    <s v="RC"/>
  </r>
  <r>
    <x v="0"/>
    <x v="3"/>
    <x v="1"/>
    <s v="modesg_out_sfics_taxon_europeia"/>
    <s v="cbalcao"/>
    <x v="3"/>
    <s v="4. Validação EF"/>
    <s v="Package X"/>
    <s v="Package X"/>
    <m/>
    <s v=""/>
    <s v=""/>
    <s v=""/>
    <m/>
    <m/>
    <m/>
    <m/>
    <m/>
    <x v="0"/>
    <s v="RC"/>
  </r>
  <r>
    <x v="0"/>
    <x v="3"/>
    <x v="1"/>
    <s v="modesg_out_sfics_taxon_europeia"/>
    <s v="cempresa"/>
    <x v="3"/>
    <s v="4. Validação EF"/>
    <s v="Package X"/>
    <s v="Package X"/>
    <m/>
    <s v=""/>
    <s v=""/>
    <s v=""/>
    <m/>
    <m/>
    <m/>
    <m/>
    <m/>
    <x v="0"/>
    <s v="RC"/>
  </r>
  <r>
    <x v="0"/>
    <x v="3"/>
    <x v="1"/>
    <s v="modesg_out_sfics_taxon_europeia"/>
    <s v="cnumecta"/>
    <x v="3"/>
    <s v="4. Validação EF"/>
    <s v="Package X"/>
    <s v="Package X"/>
    <m/>
    <s v=""/>
    <s v=""/>
    <s v=""/>
    <m/>
    <m/>
    <m/>
    <m/>
    <m/>
    <x v="0"/>
    <s v="RC"/>
  </r>
  <r>
    <x v="0"/>
    <x v="3"/>
    <x v="1"/>
    <s v="modesg_out_sfics_taxon_europeia"/>
    <s v="cod_regra"/>
    <x v="3"/>
    <s v="4. Validação EF"/>
    <s v="Package X"/>
    <s v="Package X"/>
    <m/>
    <s v=""/>
    <s v=""/>
    <s v=""/>
    <m/>
    <m/>
    <m/>
    <m/>
    <m/>
    <x v="0"/>
    <s v="RC"/>
  </r>
  <r>
    <x v="0"/>
    <x v="3"/>
    <x v="1"/>
    <s v="modesg_out_sfics_taxon_europeia"/>
    <s v="ordem"/>
    <x v="1"/>
    <s v="0. Cancelado"/>
    <m/>
    <m/>
    <m/>
    <s v=""/>
    <s v=""/>
    <s v=""/>
    <m/>
    <m/>
    <m/>
    <m/>
    <m/>
    <x v="0"/>
    <m/>
  </r>
  <r>
    <x v="0"/>
    <x v="3"/>
    <x v="1"/>
    <s v="modesg_out_sfics_taxon_europeia"/>
    <s v="montante_pndrc"/>
    <x v="3"/>
    <s v="4. Validação EF"/>
    <s v="Package X"/>
    <s v="Package X"/>
    <m/>
    <s v=""/>
    <s v=""/>
    <s v=""/>
    <m/>
    <m/>
    <m/>
    <m/>
    <m/>
    <x v="0"/>
    <s v="RC"/>
  </r>
  <r>
    <x v="0"/>
    <x v="3"/>
    <x v="1"/>
    <s v="modesg_out_sfics_taxon_europeia"/>
    <s v="nome_ctgr_sfics"/>
    <x v="3"/>
    <s v="4. Validação EF"/>
    <s v="Package X"/>
    <s v="Package X"/>
    <m/>
    <s v=""/>
    <s v=""/>
    <s v=""/>
    <m/>
    <m/>
    <m/>
    <m/>
    <m/>
    <x v="0"/>
    <s v="RC"/>
  </r>
  <r>
    <x v="0"/>
    <x v="3"/>
    <x v="1"/>
    <s v="modesg_out_sfics_taxon_europeia"/>
    <s v="nome_general_specific_purpose"/>
    <x v="3"/>
    <s v="4. Validação EF"/>
    <s v="Package X"/>
    <s v="Package X"/>
    <m/>
    <s v=""/>
    <s v=""/>
    <s v=""/>
    <m/>
    <m/>
    <m/>
    <m/>
    <m/>
    <x v="0"/>
    <s v="RC"/>
  </r>
  <r>
    <x v="0"/>
    <x v="3"/>
    <x v="1"/>
    <s v="modesg_out_sfics_taxon_europeia"/>
    <s v="nome_purpose_esg_alinh_tax"/>
    <x v="3"/>
    <s v="4. Validação EF"/>
    <s v="Package X"/>
    <s v="Package X"/>
    <m/>
    <s v=""/>
    <s v=""/>
    <s v=""/>
    <m/>
    <m/>
    <m/>
    <m/>
    <m/>
    <x v="0"/>
    <s v="RC"/>
  </r>
  <r>
    <x v="0"/>
    <x v="3"/>
    <x v="1"/>
    <s v="modesg_out_sfics_taxon_europeia"/>
    <s v="nome_purpose_esg_nalinh_tax"/>
    <x v="3"/>
    <s v="4. Validação EF"/>
    <s v="Package X"/>
    <s v="Package X"/>
    <m/>
    <s v=""/>
    <s v=""/>
    <s v=""/>
    <m/>
    <m/>
    <m/>
    <m/>
    <m/>
    <x v="2"/>
    <s v="RC"/>
  </r>
  <r>
    <x v="0"/>
    <x v="3"/>
    <x v="1"/>
    <s v="modesg_out_sfics_taxon_europeia"/>
    <s v="nome_specific_eligible"/>
    <x v="3"/>
    <s v="4. Validação EF"/>
    <s v="Package X"/>
    <s v="Package X"/>
    <m/>
    <s v=""/>
    <s v=""/>
    <s v=""/>
    <m/>
    <m/>
    <m/>
    <m/>
    <m/>
    <x v="0"/>
    <s v="RC"/>
  </r>
  <r>
    <x v="0"/>
    <x v="3"/>
    <x v="1"/>
    <s v="modesg_out_sfics_taxon_europeia"/>
    <s v="nome_specific_sustainable"/>
    <x v="3"/>
    <s v="4. Validação EF"/>
    <s v="Package X"/>
    <s v="Package X"/>
    <m/>
    <s v=""/>
    <s v=""/>
    <s v=""/>
    <m/>
    <m/>
    <m/>
    <m/>
    <m/>
    <x v="0"/>
    <s v="RC"/>
  </r>
  <r>
    <x v="0"/>
    <x v="3"/>
    <x v="1"/>
    <s v="modesg_out_sfics_taxon_europeia"/>
    <s v="origem"/>
    <x v="2"/>
    <s v="1. Concluído"/>
    <s v="Package X"/>
    <s v="Package X"/>
    <m/>
    <s v=""/>
    <s v=""/>
    <s v=""/>
    <m/>
    <m/>
    <m/>
    <m/>
    <m/>
    <x v="0"/>
    <m/>
  </r>
  <r>
    <x v="0"/>
    <x v="3"/>
    <x v="1"/>
    <s v="modesg_out_sfics_taxon_europeia"/>
    <s v="ref_date"/>
    <x v="3"/>
    <s v="4. Validação EF"/>
    <s v="Package X"/>
    <s v="Package X"/>
    <m/>
    <s v=""/>
    <s v=""/>
    <s v=""/>
    <m/>
    <m/>
    <m/>
    <m/>
    <m/>
    <x v="0"/>
    <s v="RC"/>
  </r>
  <r>
    <x v="0"/>
    <x v="3"/>
    <x v="1"/>
    <s v="modesg_out_sfics_taxon_europeia"/>
    <s v="zdeposit"/>
    <x v="3"/>
    <s v="4. Validação EF"/>
    <s v="Package X"/>
    <s v="Package X"/>
    <m/>
    <s v=""/>
    <s v=""/>
    <s v=""/>
    <m/>
    <m/>
    <m/>
    <m/>
    <m/>
    <x v="0"/>
    <s v="RC"/>
  </r>
  <r>
    <x v="0"/>
    <x v="4"/>
    <x v="1"/>
    <s v="lt003_entity"/>
    <s v="nace_esg"/>
    <x v="5"/>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5"/>
    <s v="3. Pendente de outros desenvolvimentos"/>
    <m/>
    <s v="Package X"/>
    <m/>
    <s v=""/>
    <s v=""/>
    <s v=""/>
    <m/>
    <m/>
    <m/>
    <m/>
    <m/>
    <x v="0"/>
    <s v="HF"/>
  </r>
  <r>
    <x v="0"/>
    <x v="4"/>
    <x v="1"/>
    <s v="lt003_entity"/>
    <s v="flg_chrnc_physcl_rsk"/>
    <x v="5"/>
    <s v="3. Pendente de outros desenvolvimentos"/>
    <m/>
    <s v="Package X"/>
    <m/>
    <s v=""/>
    <s v=""/>
    <s v=""/>
    <m/>
    <m/>
    <m/>
    <m/>
    <m/>
    <x v="0"/>
    <s v="HF"/>
  </r>
  <r>
    <x v="0"/>
    <x v="4"/>
    <x v="1"/>
    <s v="lt003_entity"/>
    <s v="pst_cd"/>
    <x v="2"/>
    <s v="1. Concluído"/>
    <m/>
    <m/>
    <m/>
    <s v=""/>
    <s v=""/>
    <s v=""/>
    <m/>
    <m/>
    <m/>
    <m/>
    <m/>
    <x v="0"/>
    <m/>
  </r>
  <r>
    <x v="0"/>
    <x v="4"/>
    <x v="1"/>
    <s v="lt003_entity"/>
    <s v="esg_sbsctr"/>
    <x v="5"/>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5"/>
    <s v="3. Pendente de outros desenvolvimentos"/>
    <m/>
    <s v="Package X"/>
    <m/>
    <s v=""/>
    <s v=""/>
    <s v=""/>
    <m/>
    <m/>
    <m/>
    <m/>
    <m/>
    <x v="0"/>
    <m/>
  </r>
  <r>
    <x v="0"/>
    <x v="4"/>
    <x v="1"/>
    <s v="lt004_protection"/>
    <s v="flg_chrnc_physcl_rsk"/>
    <x v="5"/>
    <s v="3. Pendente de outros desenvolvimentos"/>
    <m/>
    <s v="Package X"/>
    <m/>
    <s v=""/>
    <s v=""/>
    <s v=""/>
    <m/>
    <m/>
    <m/>
    <m/>
    <m/>
    <x v="0"/>
    <m/>
  </r>
  <r>
    <x v="0"/>
    <x v="4"/>
    <x v="1"/>
    <s v="lt002_instrument"/>
    <s v="rsk_mtgtd_cct"/>
    <x v="2"/>
    <s v="1. Concluído"/>
    <m/>
    <m/>
    <m/>
    <s v=""/>
    <s v=""/>
    <s v=""/>
    <d v="2024-10-30T00:00:00"/>
    <m/>
    <m/>
    <m/>
    <m/>
    <x v="0"/>
    <m/>
  </r>
  <r>
    <x v="0"/>
    <x v="4"/>
    <x v="1"/>
    <s v="lt002_instrument"/>
    <s v="rsk_mtgtd_ccp"/>
    <x v="5"/>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5"/>
    <s v="3. Pendente de outros desenvolvimentos"/>
    <m/>
    <s v="Package X"/>
    <m/>
    <s v=""/>
    <s v=""/>
    <s v=""/>
    <d v="2024-10-28T00:00:00"/>
    <m/>
    <s v="Novo projeto - Para testar"/>
    <m/>
    <m/>
    <x v="0"/>
    <s v="HF"/>
  </r>
  <r>
    <x v="0"/>
    <x v="4"/>
    <x v="1"/>
    <s v="lt002_instrument"/>
    <s v="mthd_usd_instrmnt_scp_2"/>
    <x v="5"/>
    <s v="3. Pendente de outros desenvolvimentos"/>
    <m/>
    <s v="Package X"/>
    <m/>
    <s v=""/>
    <s v=""/>
    <s v=""/>
    <d v="2024-10-28T00:00:00"/>
    <m/>
    <s v="Novo projeto - Para testar"/>
    <m/>
    <m/>
    <x v="0"/>
    <s v="HF"/>
  </r>
  <r>
    <x v="0"/>
    <x v="4"/>
    <x v="1"/>
    <s v="lt002_instrument"/>
    <s v="mthd_usd_instrmnt_scp_3"/>
    <x v="5"/>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7"/>
    <s v="7. Por iniciar"/>
    <s v="Package 4"/>
    <s v="Package X"/>
    <m/>
    <s v=""/>
    <s v=""/>
    <s v=""/>
    <m/>
    <m/>
    <s v="Novo Projeto - Em especificação"/>
    <s v="GD, P3 e GF"/>
    <s v="Novos Requisitos FY25 - Outros"/>
    <x v="3"/>
    <s v="RC"/>
  </r>
  <r>
    <x v="0"/>
    <x v="4"/>
    <x v="1"/>
    <s v="lt007_instr_activity"/>
    <s v="DT_RFRNC"/>
    <x v="0"/>
    <s v="7. Por iniciar"/>
    <s v="Package 3"/>
    <s v="Package X"/>
    <m/>
    <s v=""/>
    <s v=""/>
    <s v=""/>
    <m/>
    <m/>
    <s v="Novo Projeto - Em especificação"/>
    <s v="GD, P3 e GF"/>
    <s v="Novos Requisitos FY25 - Outros"/>
    <x v="3"/>
    <s v="RC"/>
  </r>
  <r>
    <x v="0"/>
    <x v="4"/>
    <x v="1"/>
    <s v="lt007_instr_activity"/>
    <s v="INSTRMNT_ID"/>
    <x v="7"/>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0"/>
    <s v="7. Por iniciar"/>
    <s v="Package 2"/>
    <s v="Package X"/>
    <m/>
    <s v=""/>
    <s v=""/>
    <s v=""/>
    <m/>
    <m/>
    <s v="Novo Projeto - Em especificação"/>
    <s v="P3"/>
    <s v="Novos Requisitos FY25 - Outros"/>
    <x v="3"/>
    <s v="JB/RC"/>
  </r>
  <r>
    <x v="0"/>
    <x v="4"/>
    <x v="1"/>
    <s v="lt007_instr_activity"/>
    <s v="DNSH_DTL"/>
    <x v="0"/>
    <s v="7. Por iniciar"/>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3"/>
    <s v="2.2 Em especificação"/>
    <m/>
    <s v="Package 1"/>
    <m/>
    <s v=""/>
    <s v=""/>
    <s v=""/>
    <d v="2024-10-30T00:00:00"/>
    <m/>
    <m/>
    <m/>
    <m/>
    <x v="0"/>
    <s v="HF"/>
  </r>
  <r>
    <x v="0"/>
    <x v="4"/>
    <x v="1"/>
    <s v="lt002_instrument"/>
    <s v="grss_cmmssn_incm"/>
    <x v="3"/>
    <s v="2.2 Em especificação"/>
    <m/>
    <s v="Package 1"/>
    <m/>
    <s v=""/>
    <s v=""/>
    <s v=""/>
    <d v="2024-10-30T00:00:00"/>
    <m/>
    <m/>
    <m/>
    <m/>
    <x v="0"/>
    <s v="HF"/>
  </r>
  <r>
    <x v="0"/>
    <x v="4"/>
    <x v="1"/>
    <s v="lt002_instrument"/>
    <s v="grss_cmmssn_incm_off_blnc"/>
    <x v="3"/>
    <s v="2.2 Em especificação"/>
    <m/>
    <s v="Package 1"/>
    <m/>
    <s v=""/>
    <s v=""/>
    <s v=""/>
    <d v="2024-10-30T00:00:00"/>
    <m/>
    <m/>
    <m/>
    <m/>
    <x v="0"/>
    <s v="HF"/>
  </r>
  <r>
    <x v="0"/>
    <x v="4"/>
    <x v="1"/>
    <s v="lt002_instrument"/>
    <s v="idcmb"/>
    <x v="2"/>
    <s v="1. Concluído"/>
    <m/>
    <m/>
    <m/>
    <s v=""/>
    <s v=""/>
    <s v=""/>
    <m/>
    <m/>
    <m/>
    <m/>
    <m/>
    <x v="0"/>
    <m/>
  </r>
  <r>
    <x v="0"/>
    <x v="4"/>
    <x v="1"/>
    <s v="lt002_instrument"/>
    <s v="FRBRNC_STTS_INSTRMNT"/>
    <x v="0"/>
    <s v="7. Por iniciar"/>
    <s v="Package 2"/>
    <s v="Package X"/>
    <m/>
    <s v=""/>
    <s v=""/>
    <s v=""/>
    <m/>
    <m/>
    <s v="Novo Projeto - Em especificação"/>
    <s v="ESTR, P3 e LF"/>
    <s v="Novos Requisitos FY25 - Âmbito ESTR e (ou) LF"/>
    <x v="3"/>
    <s v="JB"/>
  </r>
  <r>
    <x v="0"/>
    <x v="4"/>
    <x v="1"/>
    <s v="lt002_instrument"/>
    <s v="INTRNL_SGMNT"/>
    <x v="0"/>
    <s v="7. Por iniciar"/>
    <s v="Package 3"/>
    <s v="Package X"/>
    <m/>
    <s v=""/>
    <s v=""/>
    <s v=""/>
    <m/>
    <m/>
    <s v="Novo Projeto - Em especificação"/>
    <s v="ESTR, ESG e LF"/>
    <s v="Novos Requisitos FY25 - Âmbito ESTR e (ou) LF"/>
    <x v="3"/>
    <s v="HF"/>
  </r>
  <r>
    <x v="0"/>
    <x v="4"/>
    <x v="1"/>
    <s v="lt002_instrument"/>
    <s v="DT_ORGNL_MTRTY"/>
    <x v="0"/>
    <s v="7. Por iniciar"/>
    <s v="Package 3"/>
    <s v="Package X"/>
    <m/>
    <s v=""/>
    <s v=""/>
    <s v=""/>
    <m/>
    <m/>
    <s v="Novo Projeto - Em especificação"/>
    <s v="ESTR, P3, GF e LF"/>
    <s v="Novos Requisitos FY25 - Âmbito ESTR e (ou) LF"/>
    <x v="3"/>
    <s v="HF"/>
  </r>
  <r>
    <x v="0"/>
    <x v="4"/>
    <x v="1"/>
    <s v="lt002_instrument"/>
    <s v="EAD"/>
    <x v="0"/>
    <s v="7. Por iniciar"/>
    <s v="Package 3"/>
    <s v="Package X"/>
    <m/>
    <s v=""/>
    <s v=""/>
    <s v=""/>
    <m/>
    <m/>
    <s v="Novo Projeto - Em especificação"/>
    <s v="ESTR, GD, ESG e LF"/>
    <s v="Novos Requisitos FY25 - Âmbito ESTR e (ou) LF"/>
    <x v="3"/>
    <s v="HF"/>
  </r>
  <r>
    <x v="0"/>
    <x v="4"/>
    <x v="1"/>
    <s v="lt002_instrument"/>
    <s v="OFF_BLNC_SHT_AMNT_INSTRMNT"/>
    <x v="7"/>
    <s v="7. Por iniciar"/>
    <s v="Package 4"/>
    <s v="Package X"/>
    <m/>
    <s v=""/>
    <s v=""/>
    <s v=""/>
    <m/>
    <m/>
    <s v="Novo Projeto - Em especificação"/>
    <s v="ESTR, GD, GF, ESG e LF"/>
    <s v="Novos Requisitos FY25 - Âmbito ESTR e (ou) LF"/>
    <x v="3"/>
    <s v="HF"/>
  </r>
  <r>
    <x v="0"/>
    <x v="4"/>
    <x v="1"/>
    <s v="lt002_instrument"/>
    <s v="RWA"/>
    <x v="0"/>
    <s v="7. Por iniciar"/>
    <s v="Package 3"/>
    <s v="Package X"/>
    <m/>
    <s v=""/>
    <s v=""/>
    <s v=""/>
    <m/>
    <m/>
    <s v="Novo Projeto - Em especificação"/>
    <s v="ESTR, GD, P3, GF e LF"/>
    <s v="Novos Requisitos FY25 - Âmbito ESTR e (ou) LF"/>
    <x v="3"/>
    <s v="HF"/>
  </r>
  <r>
    <x v="0"/>
    <x v="4"/>
    <x v="1"/>
    <s v="lt002_instrument"/>
    <s v="LTV"/>
    <x v="0"/>
    <s v="7. Por iniciar"/>
    <s v="Package 3"/>
    <s v="Package X"/>
    <m/>
    <s v=""/>
    <s v=""/>
    <s v=""/>
    <m/>
    <m/>
    <s v="Novo Projeto - Em especificação"/>
    <s v="ESTR e P3"/>
    <s v="Novos Requisitos FY25 - Âmbito ESTR e (ou) LF"/>
    <x v="3"/>
    <s v="HF"/>
  </r>
  <r>
    <x v="0"/>
    <x v="4"/>
    <x v="1"/>
    <s v="lt002_instrument"/>
    <s v="LTV_INCPTN"/>
    <x v="0"/>
    <s v="7. Por iniciar"/>
    <s v="Package 3"/>
    <s v="Package X"/>
    <m/>
    <s v=""/>
    <s v=""/>
    <s v=""/>
    <m/>
    <m/>
    <s v="Novo Projeto - Em especificação"/>
    <s v="ESTR e P3"/>
    <s v="Novos Requisitos FY25 - Âmbito ESTR e (ou) LF"/>
    <x v="3"/>
    <s v="JB"/>
  </r>
  <r>
    <x v="0"/>
    <x v="4"/>
    <x v="1"/>
    <s v="lt002_instrument"/>
    <s v="EIR"/>
    <x v="0"/>
    <s v="7. Por iniciar"/>
    <s v="Package 3"/>
    <s v="Package X"/>
    <m/>
    <s v=""/>
    <s v=""/>
    <s v=""/>
    <m/>
    <m/>
    <s v="Novo Projeto - Em especificação"/>
    <s v="ESTR, P3 e LF"/>
    <s v="Novos Requisitos FY25 - Âmbito ESTR e (ou) LF"/>
    <x v="3"/>
    <s v="JB"/>
  </r>
  <r>
    <x v="0"/>
    <x v="4"/>
    <x v="1"/>
    <s v="lt002_instrument"/>
    <s v="EIR_INCPTN"/>
    <x v="0"/>
    <s v="7. Por iniciar"/>
    <s v="Package 3"/>
    <s v="Package X"/>
    <m/>
    <s v=""/>
    <s v=""/>
    <s v=""/>
    <m/>
    <m/>
    <s v="Novo Projeto - Em especificação"/>
    <s v="ESTR e P3"/>
    <s v="Novos Requisitos FY25 - Âmbito ESTR e (ou) LF"/>
    <x v="3"/>
    <s v="JB"/>
  </r>
  <r>
    <x v="0"/>
    <x v="4"/>
    <x v="1"/>
    <s v="lt002_instrument"/>
    <s v="INTRNL_SGMNT_CAT_MSTA"/>
    <x v="0"/>
    <s v="7. Por iniciar"/>
    <s v="Package 3"/>
    <s v="Package X"/>
    <m/>
    <s v=""/>
    <s v=""/>
    <s v=""/>
    <m/>
    <m/>
    <s v="Novo Projeto - Em especificação"/>
    <s v="ESTR e ESG"/>
    <s v="Novos Requisitos FY25 - Âmbito ESTR e (ou) LF"/>
    <x v="3"/>
    <s v="JB"/>
  </r>
  <r>
    <x v="0"/>
    <x v="4"/>
    <x v="1"/>
    <s v="lt002_instrument"/>
    <s v="INTRNL_SGMNT_CATGSUB"/>
    <x v="0"/>
    <s v="7. Por iniciar"/>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7"/>
    <s v="7. Por iniciar"/>
    <s v="Package 5 --&gt; Não está especificado no LT - não conseguimos testar"/>
    <s v="Package X"/>
    <m/>
    <s v=""/>
    <s v=""/>
    <s v=""/>
    <m/>
    <m/>
    <s v="Novo Projeto - Em especificação"/>
    <s v="ESTR, GD, P3 e LF"/>
    <s v="Novos Requisitos FY25 - Âmbito ESTR e (ou) LF"/>
    <x v="3"/>
    <s v="JB"/>
  </r>
  <r>
    <x v="0"/>
    <x v="4"/>
    <x v="1"/>
    <s v="lt002_instrument"/>
    <s v="FLG_MNMM_SFGRDS"/>
    <x v="0"/>
    <s v="7. Por iniciar"/>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0"/>
    <s v="7. Por iniciar"/>
    <s v="Package 3"/>
    <s v="Package X"/>
    <m/>
    <s v=""/>
    <s v=""/>
    <s v=""/>
    <m/>
    <m/>
    <s v="Novo Projeto - Em especificação"/>
    <s v="ESTR, P3, GF e LF"/>
    <s v="Novos Requisitos FY25 - Âmbito ESTR e (ou) LF"/>
    <x v="3"/>
    <s v="JB"/>
  </r>
  <r>
    <x v="0"/>
    <x v="4"/>
    <x v="1"/>
    <s v="lt003_entity"/>
    <s v="ec_grp_id"/>
    <x v="7"/>
    <s v="7. Por iniciar"/>
    <s v="Package 4"/>
    <s v="Package X"/>
    <m/>
    <s v=""/>
    <s v=""/>
    <s v=""/>
    <m/>
    <m/>
    <s v="Novo Projeto - Em especificação"/>
    <s v="ESTR, P3, GF e LF"/>
    <s v="Novos Requisitos FY25 - Âmbito ESTR e (ou) LF"/>
    <x v="3"/>
    <s v="JB"/>
  </r>
  <r>
    <x v="0"/>
    <x v="4"/>
    <x v="1"/>
    <s v="lt003_entity"/>
    <s v="ec_grp_nm"/>
    <x v="7"/>
    <s v="7. Por iniciar"/>
    <s v="Package 5"/>
    <s v="Package X"/>
    <m/>
    <s v=""/>
    <s v=""/>
    <s v=""/>
    <m/>
    <m/>
    <s v="Novo Projeto - Em especificação"/>
    <s v="ESTR, P3, GF e LF"/>
    <s v="Novos Requisitos FY25 - Âmbito ESTR e (ou) LF"/>
    <x v="3"/>
    <s v="JB"/>
  </r>
  <r>
    <x v="0"/>
    <x v="4"/>
    <x v="1"/>
    <s v="lt003_entity"/>
    <s v="grp_ecnmc_actvty"/>
    <x v="7"/>
    <s v="7. Por iniciar"/>
    <s v="Package 4"/>
    <s v="Package X"/>
    <m/>
    <s v=""/>
    <s v=""/>
    <s v=""/>
    <m/>
    <m/>
    <s v="Novo Projeto - Em especificação"/>
    <s v="P3, GF e ESG"/>
    <s v="Novos Requisitos FY25 - Outros"/>
    <x v="3"/>
    <s v="JB"/>
  </r>
  <r>
    <x v="0"/>
    <x v="4"/>
    <x v="1"/>
    <s v="lt003_entity"/>
    <s v="txnmy_elgbl_capex_w"/>
    <x v="0"/>
    <s v="6. Em implementação "/>
    <s v="Package 1"/>
    <s v="Package 2"/>
    <m/>
    <s v=""/>
    <s v=""/>
    <s v=""/>
    <m/>
    <m/>
    <s v="Novo Projeto - Em especificação"/>
    <s v="P3"/>
    <s v="Novos Requisitos FY25 - Outros"/>
    <x v="3"/>
    <s v="JB"/>
  </r>
  <r>
    <x v="0"/>
    <x v="4"/>
    <x v="1"/>
    <s v="lt003_entity"/>
    <s v="txnmy_elgbl_trnvr_w"/>
    <x v="0"/>
    <s v="6. Em implementação "/>
    <s v="Package 1"/>
    <s v="Package 2"/>
    <m/>
    <s v=""/>
    <s v=""/>
    <s v=""/>
    <m/>
    <m/>
    <s v="Novo Projeto - Em especificação"/>
    <s v="P3"/>
    <s v="Novos Requisitos FY25 - Outros"/>
    <x v="3"/>
    <s v="JB"/>
  </r>
  <r>
    <x v="0"/>
    <x v="4"/>
    <x v="1"/>
    <s v="lt003_entity"/>
    <s v="txnmy_elgbl_capex_p"/>
    <x v="0"/>
    <s v="6. Em implementação "/>
    <s v="Package 1"/>
    <s v="Package 2"/>
    <m/>
    <s v=""/>
    <s v=""/>
    <s v=""/>
    <m/>
    <m/>
    <s v="Novo Projeto - Em especificação"/>
    <s v="P3"/>
    <s v="Novos Requisitos FY25 - Outros"/>
    <x v="3"/>
    <s v="JB"/>
  </r>
  <r>
    <x v="0"/>
    <x v="4"/>
    <x v="1"/>
    <s v="lt003_entity"/>
    <s v="txnmy_elgbl_trnvr_p"/>
    <x v="0"/>
    <s v="6. Em implementação "/>
    <s v="Package 1"/>
    <s v="Package 2"/>
    <m/>
    <s v=""/>
    <s v=""/>
    <s v=""/>
    <m/>
    <m/>
    <s v="Novo Projeto - Em especificação"/>
    <s v="P3"/>
    <s v="Novos Requisitos FY25 - Outros"/>
    <x v="3"/>
    <s v="JB"/>
  </r>
  <r>
    <x v="0"/>
    <x v="4"/>
    <x v="1"/>
    <s v="lt003_entity"/>
    <s v="txnmy_elgbl_capex_b"/>
    <x v="0"/>
    <s v="6. Em implementação "/>
    <s v="Package 1"/>
    <s v="Package 2"/>
    <m/>
    <s v=""/>
    <s v=""/>
    <s v=""/>
    <m/>
    <m/>
    <s v="Novo Projeto - Em especificação"/>
    <s v="P3"/>
    <s v="Novos Requisitos FY25 - Outros"/>
    <x v="3"/>
    <s v="JB"/>
  </r>
  <r>
    <x v="0"/>
    <x v="4"/>
    <x v="1"/>
    <s v="lt003_entity"/>
    <s v="txnmy_elgbl_trnvr_b"/>
    <x v="0"/>
    <s v="6. Em implementação "/>
    <s v="Package 1"/>
    <s v="Package 2"/>
    <m/>
    <s v=""/>
    <s v=""/>
    <s v=""/>
    <m/>
    <m/>
    <s v="Novo Projeto - Em especificação"/>
    <s v="P3"/>
    <s v="Novos Requisitos FY25 - Outros"/>
    <x v="3"/>
    <s v="JB"/>
  </r>
  <r>
    <x v="0"/>
    <x v="4"/>
    <x v="1"/>
    <s v="lt003_entity"/>
    <s v="txnmy_elgbl_capex_ce"/>
    <x v="0"/>
    <s v="6. Em implementação "/>
    <s v="Package 1"/>
    <s v="Package 2"/>
    <m/>
    <s v=""/>
    <s v=""/>
    <s v=""/>
    <m/>
    <m/>
    <s v="Novo Projeto - Em especificação"/>
    <s v="P3"/>
    <s v="Novos Requisitos FY25 - Outros"/>
    <x v="3"/>
    <s v="JB"/>
  </r>
  <r>
    <x v="0"/>
    <x v="4"/>
    <x v="1"/>
    <s v="lt003_entity"/>
    <s v="txnmy_elgbl_trnvr_ce"/>
    <x v="0"/>
    <s v="6. Em implementação "/>
    <s v="Package 1"/>
    <s v="Package 2"/>
    <m/>
    <s v=""/>
    <s v=""/>
    <s v=""/>
    <m/>
    <m/>
    <s v="Novo Projeto - Em especificação"/>
    <s v="P3"/>
    <s v="Novos Requisitos FY25 - Outros"/>
    <x v="3"/>
    <s v="JB"/>
  </r>
  <r>
    <x v="0"/>
    <x v="4"/>
    <x v="1"/>
    <s v="lt003_entity"/>
    <s v="pure_capex_p"/>
    <x v="0"/>
    <s v="6. Em implementação "/>
    <s v="Package 1"/>
    <s v="Package 2"/>
    <m/>
    <s v=""/>
    <s v=""/>
    <s v=""/>
    <m/>
    <m/>
    <s v="Novo Projeto - Em especificação"/>
    <s v="P3"/>
    <s v="Novos Requisitos FY25 - Outros"/>
    <x v="3"/>
    <s v="JB"/>
  </r>
  <r>
    <x v="0"/>
    <x v="4"/>
    <x v="1"/>
    <s v="lt003_entity"/>
    <s v="pure_trnvr_p"/>
    <x v="0"/>
    <s v="6. Em implementação "/>
    <s v="Package 1"/>
    <s v="Package 2"/>
    <m/>
    <s v=""/>
    <s v=""/>
    <s v=""/>
    <m/>
    <m/>
    <s v="Novo Projeto - Em especificação"/>
    <s v="P3"/>
    <s v="Novos Requisitos FY25 - Outros"/>
    <x v="3"/>
    <s v="JB"/>
  </r>
  <r>
    <x v="0"/>
    <x v="4"/>
    <x v="1"/>
    <s v="lt003_entity"/>
    <s v="pure_capex_b"/>
    <x v="0"/>
    <s v="6. Em implementação "/>
    <s v="Package 1"/>
    <s v="Package 2"/>
    <m/>
    <s v=""/>
    <s v=""/>
    <s v=""/>
    <m/>
    <m/>
    <s v="Novo Projeto - Em especificação"/>
    <s v="P3"/>
    <s v="Novos Requisitos FY25 - Outros"/>
    <x v="3"/>
    <s v="JB"/>
  </r>
  <r>
    <x v="0"/>
    <x v="4"/>
    <x v="1"/>
    <s v="lt003_entity"/>
    <s v="pure_trnvr_b"/>
    <x v="0"/>
    <s v="6. Em implementação "/>
    <s v="Package 1"/>
    <s v="Package 2"/>
    <m/>
    <s v=""/>
    <s v=""/>
    <s v=""/>
    <m/>
    <m/>
    <s v="Novo Projeto - Em especificação"/>
    <s v="P3"/>
    <s v="Novos Requisitos FY25 - Outros"/>
    <x v="3"/>
    <s v="JB"/>
  </r>
  <r>
    <x v="0"/>
    <x v="4"/>
    <x v="1"/>
    <s v="lt003_entity"/>
    <s v="pure_capex_w"/>
    <x v="0"/>
    <s v="6. Em implementação "/>
    <s v="Package 1"/>
    <s v="Package 2"/>
    <m/>
    <s v=""/>
    <s v=""/>
    <s v=""/>
    <m/>
    <m/>
    <s v="Novo Projeto - Em especificação"/>
    <s v="P3"/>
    <s v="Novos Requisitos FY25 - Outros"/>
    <x v="3"/>
    <s v="JB"/>
  </r>
  <r>
    <x v="0"/>
    <x v="4"/>
    <x v="1"/>
    <s v="lt003_entity"/>
    <s v="pure_trnvr_w"/>
    <x v="0"/>
    <s v="6. Em implementação "/>
    <s v="Package 1"/>
    <s v="Package 2"/>
    <m/>
    <s v=""/>
    <s v=""/>
    <s v=""/>
    <m/>
    <m/>
    <s v="Novo Projeto - Em especificação"/>
    <s v="P3"/>
    <s v="Novos Requisitos FY25 - Outros"/>
    <x v="3"/>
    <s v="JB"/>
  </r>
  <r>
    <x v="0"/>
    <x v="4"/>
    <x v="1"/>
    <s v="lt003_entity"/>
    <s v="pure_capex_ce"/>
    <x v="0"/>
    <s v="6. Em implementação "/>
    <s v="Package 1"/>
    <s v="Package 2"/>
    <m/>
    <s v=""/>
    <s v=""/>
    <s v=""/>
    <m/>
    <m/>
    <s v="Novo Projeto - Em especificação"/>
    <s v="P3"/>
    <s v="Novos Requisitos FY25 - Outros"/>
    <x v="3"/>
    <s v="JB"/>
  </r>
  <r>
    <x v="0"/>
    <x v="4"/>
    <x v="1"/>
    <s v="lt003_entity"/>
    <s v="pure_trnvr_ce"/>
    <x v="0"/>
    <s v="6. Em implementação "/>
    <s v="Package 1"/>
    <s v="Package 2"/>
    <m/>
    <s v=""/>
    <s v=""/>
    <s v=""/>
    <m/>
    <m/>
    <s v="Novo Projeto - Em especificação"/>
    <s v="P3"/>
    <s v="Novos Requisitos FY25 - Outros"/>
    <x v="3"/>
    <s v="JB"/>
  </r>
  <r>
    <x v="0"/>
    <x v="4"/>
    <x v="1"/>
    <s v="lt003_entity"/>
    <s v="enblng_capex_w"/>
    <x v="0"/>
    <s v="6. Em implementação "/>
    <s v="Package 1"/>
    <s v="Package 2"/>
    <m/>
    <s v=""/>
    <s v=""/>
    <s v=""/>
    <m/>
    <m/>
    <s v="Novo Projeto - Em especificação"/>
    <s v="P3"/>
    <s v="Novos Requisitos FY25 - Outros"/>
    <x v="3"/>
    <s v="JB"/>
  </r>
  <r>
    <x v="0"/>
    <x v="4"/>
    <x v="1"/>
    <s v="lt003_entity"/>
    <s v="enblng_trnvr_w"/>
    <x v="0"/>
    <s v="6. Em implementação "/>
    <s v="Package 1"/>
    <s v="Package 2"/>
    <m/>
    <s v=""/>
    <s v=""/>
    <s v=""/>
    <m/>
    <m/>
    <s v="Novo Projeto - Em especificação"/>
    <s v="P3"/>
    <s v="Novos Requisitos FY25 - Outros"/>
    <x v="3"/>
    <s v="JB"/>
  </r>
  <r>
    <x v="0"/>
    <x v="4"/>
    <x v="1"/>
    <s v="lt003_entity"/>
    <s v="enblng_capex_ce"/>
    <x v="0"/>
    <s v="6. Em implementação "/>
    <s v="Package 1"/>
    <s v="Package 2"/>
    <m/>
    <s v=""/>
    <s v=""/>
    <s v=""/>
    <m/>
    <m/>
    <s v="Novo Projeto - Em especificação"/>
    <s v="P3"/>
    <s v="Novos Requisitos FY25 - Outros"/>
    <x v="3"/>
    <s v="JB"/>
  </r>
  <r>
    <x v="0"/>
    <x v="4"/>
    <x v="1"/>
    <s v="lt003_entity"/>
    <s v="enblng_trnvr_ce"/>
    <x v="0"/>
    <s v="6. Em implementação "/>
    <s v="Package 1"/>
    <s v="Package 2"/>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0"/>
    <s v="7. Por iniciar"/>
    <s v="Package 2"/>
    <s v="Package X"/>
    <m/>
    <s v=""/>
    <s v=""/>
    <s v=""/>
    <m/>
    <m/>
    <s v="Novo Projeto - Em especificação"/>
    <m/>
    <m/>
    <x v="0"/>
    <s v="JB - Falar com SB"/>
  </r>
  <r>
    <x v="0"/>
    <x v="4"/>
    <x v="1"/>
    <s v="lt006_instr_prot"/>
    <s v="TYP_RLTN"/>
    <x v="7"/>
    <s v="7. Por iniciar"/>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7"/>
    <s v="7. Por iniciar"/>
    <s v="Package 4"/>
    <s v="Package X"/>
    <m/>
    <s v=""/>
    <s v=""/>
    <s v=""/>
    <m/>
    <m/>
    <s v="Novo Projeto - Em especificação"/>
    <s v="ESTR e ESG"/>
    <s v="Novos Requisitos FY25 - Âmbito ESTR e (ou) LF"/>
    <x v="3"/>
    <s v="JB"/>
  </r>
  <r>
    <x v="0"/>
    <x v="4"/>
    <x v="1"/>
    <s v="lt004_protection"/>
    <s v="RL_ESTT_CLLTRL_LCTN_INT"/>
    <x v="7"/>
    <s v="7. Por iniciar"/>
    <s v="Package 4"/>
    <s v="Package X"/>
    <m/>
    <s v=""/>
    <s v=""/>
    <s v=""/>
    <m/>
    <m/>
    <s v="Novo Projeto - Em especificação"/>
    <s v="ESTR e ESG"/>
    <s v="Novos Requisitos FY25 - Âmbito ESTR e (ou) LF"/>
    <x v="3"/>
    <s v="JB"/>
  </r>
  <r>
    <x v="0"/>
    <x v="4"/>
    <x v="1"/>
    <s v="lt004_protection"/>
    <s v="RL_ESTT_CTY"/>
    <x v="0"/>
    <s v="7. Por iniciar"/>
    <s v="Package 3"/>
    <s v="Package X"/>
    <m/>
    <s v=""/>
    <s v=""/>
    <s v=""/>
    <m/>
    <m/>
    <s v="Novo Projeto - Em especificação"/>
    <s v="ESTR e ESG"/>
    <s v="Novos Requisitos FY25 - Âmbito ESTR e (ou) LF"/>
    <x v="3"/>
    <s v="JB"/>
  </r>
  <r>
    <x v="0"/>
    <x v="4"/>
    <x v="1"/>
    <s v="lt004_protection"/>
    <s v="TYP_EMSSNS_LBL"/>
    <x v="0"/>
    <s v="7. Por iniciar"/>
    <s v="Package 2"/>
    <s v="Package X"/>
    <m/>
    <s v=""/>
    <s v=""/>
    <s v=""/>
    <m/>
    <m/>
    <s v="Novo Projeto - Em especificação"/>
    <s v="ESG"/>
    <s v="Novos Requisitos FY25 - Outros"/>
    <x v="3"/>
    <s v="JB"/>
  </r>
  <r>
    <x v="0"/>
    <x v="4"/>
    <x v="1"/>
    <s v="lt004_protection"/>
    <s v="EPC_EMSSNS_LBL"/>
    <x v="7"/>
    <s v="7. Por iniciar"/>
    <s v="Package 4"/>
    <s v="Package X"/>
    <m/>
    <s v=""/>
    <s v=""/>
    <s v=""/>
    <m/>
    <m/>
    <s v="Novo Projeto - Em especificação"/>
    <s v="ESG"/>
    <s v="Novos Requisitos FY25 - Outros"/>
    <x v="3"/>
    <s v="JB"/>
  </r>
  <r>
    <x v="0"/>
    <x v="4"/>
    <x v="1"/>
    <s v="lt004_protection"/>
    <s v="VHCL_EMSSNS_LBL"/>
    <x v="0"/>
    <s v="7. Por iniciar"/>
    <s v="Package 2"/>
    <s v="Package X"/>
    <m/>
    <s v=""/>
    <s v=""/>
    <s v=""/>
    <m/>
    <m/>
    <s v="Novo Projeto - Em especificação"/>
    <s v="ESG"/>
    <s v="Novos Requisitos FY25 - Outros"/>
    <x v="3"/>
    <s v="JB"/>
  </r>
  <r>
    <x v="0"/>
    <x v="4"/>
    <x v="1"/>
    <s v="lt004_protection"/>
    <s v="TYP_EMSSNS_SCR"/>
    <x v="7"/>
    <s v="7. Por iniciar"/>
    <s v="Package 4"/>
    <s v="Package X"/>
    <m/>
    <s v=""/>
    <s v=""/>
    <s v=""/>
    <m/>
    <m/>
    <s v="Novo Projeto - Em especificação"/>
    <s v="ESG"/>
    <s v="Novos Requisitos FY25 - Outros"/>
    <x v="3"/>
    <s v="JB"/>
  </r>
  <r>
    <x v="0"/>
    <x v="4"/>
    <x v="1"/>
    <s v="lt004_protection"/>
    <s v="EPC_EMSSNS_SCR"/>
    <x v="7"/>
    <s v="7. Por iniciar"/>
    <s v="Package 4"/>
    <s v="Package X"/>
    <m/>
    <s v=""/>
    <s v=""/>
    <s v=""/>
    <m/>
    <m/>
    <s v="Novo Projeto - Em especificação"/>
    <s v="ESG"/>
    <s v="Novos Requisitos FY25 - Outros"/>
    <x v="3"/>
    <s v="JB"/>
  </r>
  <r>
    <x v="0"/>
    <x v="4"/>
    <x v="1"/>
    <s v="lt004_protection"/>
    <s v="VHCL_EMSSNS_SCR"/>
    <x v="0"/>
    <s v="7. Por iniciar"/>
    <s v="Package 2"/>
    <s v="Package X"/>
    <m/>
    <s v=""/>
    <s v=""/>
    <s v=""/>
    <m/>
    <m/>
    <s v="Novo Projeto - Em especificação"/>
    <s v="ESG"/>
    <s v="Novos Requisitos FY25 - Outros"/>
    <x v="3"/>
    <s v="JB"/>
  </r>
  <r>
    <x v="0"/>
    <x v="4"/>
    <x v="1"/>
    <s v="lt004_protection"/>
    <s v="INSRNC_ID"/>
    <x v="0"/>
    <s v="7. Por iniciar"/>
    <s v="Package 2"/>
    <s v="Package X"/>
    <m/>
    <s v=""/>
    <s v=""/>
    <s v=""/>
    <m/>
    <m/>
    <s v="Novo Projeto - Em especificação"/>
    <s v="ESG"/>
    <s v="Novos Requisitos FY25 - Outros"/>
    <x v="3"/>
    <s v="JB"/>
  </r>
  <r>
    <x v="0"/>
    <x v="4"/>
    <x v="1"/>
    <s v="lt004_protection"/>
    <s v="TYP_HZRDS_INSRD"/>
    <x v="0"/>
    <s v="7. Por iniciar"/>
    <s v="Package 2"/>
    <s v="Package X"/>
    <m/>
    <s v=""/>
    <s v=""/>
    <s v=""/>
    <m/>
    <m/>
    <s v="Novo Projeto - Em especificação"/>
    <s v="ESG"/>
    <s v="Novos Requisitos FY25 - Outros"/>
    <x v="3"/>
    <s v="JB"/>
  </r>
  <r>
    <x v="0"/>
    <x v="4"/>
    <x v="1"/>
    <s v="lt004_protection"/>
    <s v="AMNT_CVRD_INSRNC"/>
    <x v="0"/>
    <s v="7. Por iniciar"/>
    <s v="Package 2"/>
    <s v="Package X"/>
    <m/>
    <s v=""/>
    <s v=""/>
    <s v=""/>
    <m/>
    <m/>
    <s v="Novo Projeto - Em especificação"/>
    <s v="ESG"/>
    <s v="Novos Requisitos FY25 - Outros"/>
    <x v="3"/>
    <s v="JB"/>
  </r>
  <r>
    <x v="0"/>
    <x v="4"/>
    <x v="1"/>
    <s v="lt004_protection"/>
    <s v="DT_MTRTY_INSRNC"/>
    <x v="0"/>
    <s v="7. Por iniciar"/>
    <s v="Package 2"/>
    <s v="Package X"/>
    <m/>
    <s v=""/>
    <s v=""/>
    <s v=""/>
    <m/>
    <m/>
    <s v="Novo Projeto - Em especificação"/>
    <s v="ESG"/>
    <s v="Novos Requisitos FY25 - Outros"/>
    <x v="3"/>
    <s v="JB"/>
  </r>
  <r>
    <x v="0"/>
    <x v="4"/>
    <x v="1"/>
    <s v="lt004_protection"/>
    <s v="FLG_FRST_HM"/>
    <x v="0"/>
    <s v="7. Por iniciar"/>
    <s v="Package 2"/>
    <s v="Package X"/>
    <m/>
    <s v=""/>
    <s v=""/>
    <s v=""/>
    <m/>
    <m/>
    <s v="Novo Projeto - Em especificação"/>
    <s v="ESG"/>
    <s v="Novos Requisitos FY25 - Outros"/>
    <x v="3"/>
    <s v="JB"/>
  </r>
  <r>
    <x v="0"/>
    <x v="4"/>
    <x v="1"/>
    <s v="lt004_protection"/>
    <s v="YR_CNSTRCTN"/>
    <x v="0"/>
    <s v="7. Por iniciar"/>
    <s v="Package 3"/>
    <s v="Package X"/>
    <m/>
    <s v=""/>
    <s v=""/>
    <s v=""/>
    <m/>
    <m/>
    <s v="Novo Projeto - Em especificação"/>
    <s v="ESTR, P3 e ESG"/>
    <s v="Novos Requisitos FY25 - Âmbito ESTR e (ou) LF"/>
    <x v="3"/>
    <s v="JB"/>
  </r>
  <r>
    <x v="0"/>
    <x v="4"/>
    <x v="1"/>
    <s v="lt004_protection"/>
    <s v="BLDNG_AR"/>
    <x v="0"/>
    <s v="7. Por iniciar"/>
    <s v="Package 3"/>
    <s v="Package X"/>
    <m/>
    <s v=""/>
    <s v=""/>
    <s v=""/>
    <m/>
    <m/>
    <s v="Novo Projeto - Em especificação"/>
    <s v="P3 e ESG"/>
    <s v="Novos Requisitos FY25 - Outros"/>
    <x v="3"/>
    <s v="JB"/>
  </r>
  <r>
    <x v="0"/>
    <x v="4"/>
    <x v="1"/>
    <s v="lt004_protection"/>
    <s v="RL_ESTT_CRTFCTN"/>
    <x v="0"/>
    <s v="7. Por iniciar"/>
    <s v="Package 2"/>
    <s v="Package X"/>
    <m/>
    <s v=""/>
    <s v=""/>
    <s v=""/>
    <m/>
    <m/>
    <s v="Novo Projeto - Em especificação"/>
    <s v="P3 e ESG"/>
    <s v="Novos Requisitos FY25 - Outros"/>
    <x v="3"/>
    <s v="JB"/>
  </r>
  <r>
    <x v="0"/>
    <x v="4"/>
    <x v="1"/>
    <s v="lt004_protection"/>
    <s v="TYP_VHCL"/>
    <x v="7"/>
    <s v="7. Por iniciar"/>
    <s v="Package 4"/>
    <s v="Package X"/>
    <m/>
    <s v=""/>
    <s v=""/>
    <s v=""/>
    <m/>
    <m/>
    <s v="Novo Projeto - Em especificação"/>
    <s v="GD, P3 e ESG"/>
    <s v="Novos Requisitos FY25 - Outros"/>
    <x v="3"/>
    <s v="JB"/>
  </r>
  <r>
    <x v="0"/>
    <x v="4"/>
    <x v="1"/>
    <s v="lt004_protection"/>
    <s v="DT_RGSTRTN"/>
    <x v="0"/>
    <s v="7. Por iniciar"/>
    <s v="Package 2"/>
    <s v="Package X"/>
    <m/>
    <s v=""/>
    <s v=""/>
    <s v=""/>
    <m/>
    <m/>
    <s v="Novo Projeto - Em especificação"/>
    <s v="P3 e ESG"/>
    <s v="Novos Requisitos FY25 - Outros"/>
    <x v="3"/>
    <s v="JB"/>
  </r>
  <r>
    <x v="0"/>
    <x v="4"/>
    <x v="1"/>
    <s v="lt004_protection"/>
    <s v="PRMRY_ENRGY_DMND_NN_RNWBL"/>
    <x v="0"/>
    <s v="7. Por iniciar"/>
    <s v="Package 3"/>
    <s v="Package X"/>
    <m/>
    <s v=""/>
    <s v=""/>
    <s v=""/>
    <m/>
    <m/>
    <s v="Novo Projeto - Em especificação"/>
    <s v="P3 e ESG"/>
    <s v="Novos Requisitos FY25 - Outros"/>
    <x v="3"/>
    <s v="HF"/>
  </r>
  <r>
    <x v="0"/>
    <x v="4"/>
    <x v="1"/>
    <s v="lt004_protection"/>
    <s v="PRMRY_ENRGY_DMND_TTL"/>
    <x v="7"/>
    <s v="7. Por iniciar"/>
    <s v="Package 4"/>
    <s v="Package X"/>
    <m/>
    <s v=""/>
    <s v=""/>
    <s v=""/>
    <m/>
    <m/>
    <s v="Novo Projeto - Em especificação"/>
    <s v="P3 e ESG"/>
    <s v="Novos Requisitos FY25 - Outros"/>
    <x v="3"/>
    <s v="HF"/>
  </r>
  <r>
    <x v="0"/>
    <x v="4"/>
    <x v="1"/>
    <s v="lt004_protection"/>
    <s v="PRMRY_ENRGY_DMND_RFRNC_VL"/>
    <x v="7"/>
    <s v="7. Por iniciar"/>
    <s v="Package 4"/>
    <s v="Package X"/>
    <m/>
    <s v=""/>
    <s v=""/>
    <s v=""/>
    <m/>
    <m/>
    <s v="Novo Projeto - Em especificação"/>
    <s v="P3 e ESG"/>
    <s v="Novos Requisitos FY25 - Outros"/>
    <x v="3"/>
    <s v="HF"/>
  </r>
  <r>
    <x v="0"/>
    <x v="4"/>
    <x v="1"/>
    <s v="lt004_protection"/>
    <s v="RL_ESTT_CLMT_ZN"/>
    <x v="7"/>
    <s v="7. Por iniciar"/>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15"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4"/>
        <item x="5"/>
        <item x="6"/>
        <item m="1" x="10"/>
        <item m="1" x="11"/>
        <item m="1" x="8"/>
        <item m="1" x="9"/>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4.xml><?xml version="1.0" encoding="utf-8"?>
<pivotTableDefinition xmlns="http://schemas.openxmlformats.org/spreadsheetml/2006/main" name="PivotTable1" cacheId="2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40"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2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2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2"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8"/>
        <item x="5"/>
        <item x="6"/>
        <item m="1" x="10"/>
        <item x="0"/>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2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4"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4"/>
        <item x="5"/>
        <item x="6"/>
        <item m="1" x="10"/>
        <item m="1" x="11"/>
        <item m="1" x="8"/>
        <item m="1" x="9"/>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8"/>
        <item x="5"/>
        <item x="6"/>
        <item m="1" x="10"/>
        <item x="0"/>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6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67" tableBorderDxfId="466">
  <autoFilter ref="B6:U731">
    <filterColumn colId="1">
      <filters>
        <filter val="Pilar III"/>
      </filters>
    </filterColumn>
    <filterColumn colId="3">
      <filters>
        <filter val="lt003_entity"/>
      </filters>
    </filterColumn>
    <filterColumn colId="7">
      <filters>
        <filter val="Package 1"/>
      </filters>
    </filterColumn>
  </autoFilter>
  <tableColumns count="20">
    <tableColumn id="1" name="Âmbito" dataDxfId="465"/>
    <tableColumn id="2" name="Sub-âmbito" dataDxfId="464"/>
    <tableColumn id="3" name="Tipo de teste" dataDxfId="463"/>
    <tableColumn id="4" name="Tabela" dataDxfId="462"/>
    <tableColumn id="5" name="Campo" dataDxfId="461"/>
    <tableColumn id="6" name="Status Atual" dataDxfId="460">
      <calculatedColumnFormula>VLOOKUP(A7,Plano_V3!$A$26:$G$759,7,0)</calculatedColumnFormula>
    </tableColumn>
    <tableColumn id="7" name="Status Anterior" dataDxfId="459"/>
    <tableColumn id="8" name="Observações - Especificações" dataDxfId="458"/>
    <tableColumn id="20" name="Observações - Testes" dataDxfId="457"/>
    <tableColumn id="19" name="Observações - Testes sem visibilidade" dataDxfId="456"/>
    <tableColumn id="9" name="Data de Pedido correção/esclarecimento" dataDxfId="455">
      <calculatedColumnFormula>IF(VLOOKUP(A7,'Aux - pivots1'!$A:$E,3,0)=0, "",VLOOKUP(A7,'Aux - pivots1'!$A:$E,3,0))</calculatedColumnFormula>
    </tableColumn>
    <tableColumn id="10" name="Data de correção prevista" dataDxfId="454">
      <calculatedColumnFormula>IF(VLOOKUP(A7,'Aux - pivots1'!$A:$E,4,0)=0, "",VLOOKUP(A7,'Aux - pivots1'!$A:$E,4,0))</calculatedColumnFormula>
    </tableColumn>
    <tableColumn id="11" name="Data de correção efetiva" dataDxfId="453">
      <calculatedColumnFormula>IF(VLOOKUP(A7,'Aux - pivots1'!$A:$E,5,0)=0, "",VLOOKUP(A7,'Aux - pivots1'!$A:$E,5,0))</calculatedColumnFormula>
    </tableColumn>
    <tableColumn id="12" name="Data Prevista de Re-especificação" dataDxfId="452"/>
    <tableColumn id="13" name="Data Prevista de Teste" dataDxfId="451"/>
    <tableColumn id="15" name="Projeto (Aux JB)" dataDxfId="450"/>
    <tableColumn id="18" name="LT Âmbito" dataDxfId="449"/>
    <tableColumn id="21" name="LT Âmbito- Aux" dataDxfId="448"/>
    <tableColumn id="16" name="Plano" dataDxfId="447"/>
    <tableColumn id="17" name="Owner" dataDxfId="446"/>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217" dataDxfId="215" totalsRowDxfId="213" headerRowBorderDxfId="216" tableBorderDxfId="214" totalsRowBorderDxfId="212">
  <autoFilter ref="B8:X1525">
    <filterColumn colId="1">
      <filters>
        <filter val="Modelo Verde - Input"/>
        <filter val="Modelo Verde - Output"/>
      </filters>
    </filterColumn>
    <filterColumn colId="4">
      <filters>
        <filter val="modesg_out_sfics_taxon_europeia"/>
        <filter val="modesg_param_sfics_taxon_europeia"/>
      </filters>
    </filterColumn>
    <filterColumn colId="7">
      <filters>
        <filter val="4. Validação EF"/>
      </filters>
    </filterColumn>
  </autoFilter>
  <tableColumns count="23">
    <tableColumn id="1" name="Âmbito" dataDxfId="211" totalsRowDxfId="210"/>
    <tableColumn id="12" name="Sub-âmbito" dataDxfId="209" totalsRowDxfId="208"/>
    <tableColumn id="2" name="Origem" dataDxfId="207" totalsRowDxfId="206"/>
    <tableColumn id="18" name="Campo Origem" dataDxfId="205" totalsRowDxfId="204"/>
    <tableColumn id="5" name="Tabela" dataDxfId="203" totalsRowDxfId="202"/>
    <tableColumn id="3" name="Campo" dataDxfId="201" totalsRowDxfId="200"/>
    <tableColumn id="20" name="concat" dataDxfId="199" totalsRowDxfId="198">
      <calculatedColumnFormula>Table1[[#This Row],[Tabela]]&amp;Table1[[#This Row],[Campo]]</calculatedColumnFormula>
    </tableColumn>
    <tableColumn id="4" name="Status" dataDxfId="197" totalsRowDxfId="196"/>
    <tableColumn id="19" name="Status2" dataDxfId="195">
      <calculatedColumnFormula>VLOOKUP(Table1[[#This Row],[Status]],Auxiliar!$B$16:$C$24,2,0)</calculatedColumnFormula>
    </tableColumn>
    <tableColumn id="6" name="Tipologia_Testes" dataDxfId="194" totalsRowDxfId="193"/>
    <tableColumn id="10" name="Necessidade de re-especificação? (campo)" dataDxfId="192" totalsRowDxfId="191"/>
    <tableColumn id="9" name="Complexidade" dataDxfId="190" totalsRowDxfId="189"/>
    <tableColumn id="17" name="Data de Alteração Status" dataDxfId="188" totalsRowDxfId="187"/>
    <tableColumn id="8" name="Estimação (horas)" totalsRowFunction="custom" dataDxfId="186" totalsRowDxfId="185">
      <calculatedColumnFormula>INDEX(Auxiliar!$D$5:$F$11,MATCH(Table1[[#This Row],[Tipologia_Testes]],Auxiliar!$B$5:$B$11,0),MATCH(Table1[[#This Row],[Complexidade]],Auxiliar!$D$4:$F$4,0))</calculatedColumnFormula>
      <totalsRowFormula>SUMIF(Table1[Estimação (horas)],"&gt;0")</totalsRowFormula>
    </tableColumn>
    <tableColumn id="7" name="Notas" dataDxfId="184" totalsRowDxfId="183"/>
    <tableColumn id="11" name="Owner" dataDxfId="182" totalsRowDxfId="181"/>
    <tableColumn id="21" name="Data alteração especificação" dataDxfId="180" totalsRowDxfId="179"/>
    <tableColumn id="13" name="Data de inicio testes" dataDxfId="178" totalsRowDxfId="177"/>
    <tableColumn id="14" name="Data de incidência / pedido esclarecimento" dataDxfId="176" totalsRowDxfId="175"/>
    <tableColumn id="15" name="Data de correção/resposta prevista" dataDxfId="174" totalsRowDxfId="173"/>
    <tableColumn id="22" name="Data de correção/resposta efetiva" dataDxfId="172" totalsRowDxfId="171"/>
    <tableColumn id="23" name="Horas efetivas" dataDxfId="170" totalsRowDxfId="169">
      <calculatedColumnFormula>VLOOKUP(Table1[[#This Row],[Status]],Auxiliar!$B$16:$D$24,3,0)*Table1[[#This Row],[Estimação (horas)]]</calculatedColumnFormula>
    </tableColumn>
    <tableColumn id="16" name="Query" dataDxfId="168" totalsRowDxfId="16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90" priority="11" operator="notEqual">
      <formula>0</formula>
    </cfRule>
  </conditionalFormatting>
  <conditionalFormatting sqref="L21:L23">
    <cfRule type="cellIs" dxfId="489" priority="3" operator="notEqual">
      <formula>0</formula>
    </cfRule>
  </conditionalFormatting>
  <conditionalFormatting sqref="L577:L579">
    <cfRule type="cellIs" dxfId="488" priority="2" operator="notEqual">
      <formula>0</formula>
    </cfRule>
  </conditionalFormatting>
  <conditionalFormatting sqref="L582:L636">
    <cfRule type="cellIs" dxfId="487" priority="1" operator="notEqual">
      <formula>0</formula>
    </cfRule>
  </conditionalFormatting>
  <conditionalFormatting sqref="M5:M6 N6:FK6">
    <cfRule type="cellIs" dxfId="486" priority="12" operator="notEqual">
      <formula>0</formula>
    </cfRule>
  </conditionalFormatting>
  <conditionalFormatting sqref="M15:FK18 M21:FK23 M577:FK579 M636:FK636">
    <cfRule type="cellIs" dxfId="485" priority="10" operator="greaterThan">
      <formula>0</formula>
    </cfRule>
  </conditionalFormatting>
  <conditionalFormatting sqref="M26:FK27">
    <cfRule type="cellIs" dxfId="484" priority="9" operator="greaterThan">
      <formula>0</formula>
    </cfRule>
  </conditionalFormatting>
  <conditionalFormatting sqref="M42:FK42">
    <cfRule type="cellIs" dxfId="483" priority="8" operator="greaterThan">
      <formula>0</formula>
    </cfRule>
  </conditionalFormatting>
  <conditionalFormatting sqref="M198:FK198">
    <cfRule type="cellIs" dxfId="482" priority="7" operator="greaterThan">
      <formula>0</formula>
    </cfRule>
  </conditionalFormatting>
  <conditionalFormatting sqref="M362:FK362">
    <cfRule type="cellIs" dxfId="481" priority="6" operator="greaterThan">
      <formula>0</formula>
    </cfRule>
  </conditionalFormatting>
  <conditionalFormatting sqref="M447:FK447">
    <cfRule type="cellIs" dxfId="480" priority="5" operator="greaterThan">
      <formula>0</formula>
    </cfRule>
  </conditionalFormatting>
  <conditionalFormatting sqref="M582:FK583">
    <cfRule type="cellIs" dxfId="47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abSelected="1" topLeftCell="H91" zoomScale="70" zoomScaleNormal="70" zoomScalePageLayoutView="90" workbookViewId="0">
      <selection activeCell="X142" sqref="X142"/>
    </sheetView>
  </sheetViews>
  <sheetFormatPr defaultColWidth="0" defaultRowHeight="17.399999999999999" zeroHeight="1"/>
  <cols>
    <col min="1" max="2" width="3.59765625" style="25" customWidth="1"/>
    <col min="3" max="4" width="14.5" style="25" customWidth="1"/>
    <col min="5" max="13" width="13.19921875" style="25" customWidth="1"/>
    <col min="14" max="14" width="11.59765625" style="25" customWidth="1"/>
    <col min="15" max="15" width="12.39843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2425</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8">
      <c r="A8" s="116"/>
      <c r="B8" s="417">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0">
        <v>1</v>
      </c>
      <c r="AH8" s="116"/>
    </row>
    <row r="9" spans="1:34" ht="21.6">
      <c r="A9" s="116"/>
      <c r="B9" s="337"/>
      <c r="C9" s="436" t="s">
        <v>2364</v>
      </c>
      <c r="D9" s="416"/>
      <c r="E9" s="348"/>
      <c r="F9" s="348"/>
      <c r="G9" s="416"/>
      <c r="H9" s="416"/>
      <c r="I9" s="416"/>
      <c r="J9" s="416"/>
      <c r="K9" s="416"/>
      <c r="L9" s="416"/>
      <c r="M9" s="416"/>
      <c r="N9" s="416"/>
      <c r="O9" s="154"/>
      <c r="P9" s="154" t="s">
        <v>2353</v>
      </c>
      <c r="Q9" s="348"/>
      <c r="R9" s="154"/>
      <c r="S9" s="348"/>
      <c r="T9" s="416"/>
      <c r="U9" s="416"/>
      <c r="V9" s="416"/>
      <c r="W9" s="416"/>
      <c r="X9" s="155" t="s">
        <v>610</v>
      </c>
      <c r="Y9" s="330"/>
      <c r="Z9" s="330"/>
      <c r="AA9" s="330"/>
      <c r="AB9" s="330"/>
      <c r="AC9" s="330"/>
      <c r="AD9" s="330"/>
      <c r="AE9" s="330"/>
      <c r="AF9" s="330"/>
      <c r="AG9" s="349"/>
      <c r="AH9" s="116"/>
    </row>
    <row r="10" spans="1:34" ht="18.75" customHeight="1">
      <c r="A10" s="116"/>
      <c r="B10" s="337"/>
      <c r="C10" s="416"/>
      <c r="D10" s="416"/>
      <c r="E10" s="422">
        <v>0</v>
      </c>
      <c r="F10" s="422"/>
      <c r="G10" s="423"/>
      <c r="H10" s="423">
        <v>1</v>
      </c>
      <c r="I10" s="423"/>
      <c r="J10" s="423"/>
      <c r="K10" s="423"/>
      <c r="L10" s="423">
        <v>4</v>
      </c>
      <c r="M10" s="416"/>
      <c r="N10" s="416"/>
      <c r="O10" s="416"/>
      <c r="P10" s="416"/>
      <c r="Q10" s="348"/>
      <c r="R10" s="416"/>
      <c r="S10" s="348"/>
      <c r="T10" s="416"/>
      <c r="U10" s="416"/>
      <c r="V10" s="416"/>
      <c r="W10" s="416"/>
      <c r="X10" s="518" t="s">
        <v>2422</v>
      </c>
      <c r="Y10" s="519"/>
      <c r="Z10" s="519"/>
      <c r="AA10" s="519"/>
      <c r="AB10" s="519"/>
      <c r="AC10" s="519"/>
      <c r="AD10" s="519"/>
      <c r="AE10" s="519"/>
      <c r="AF10" s="520"/>
      <c r="AG10" s="349"/>
      <c r="AH10" s="116"/>
    </row>
    <row r="11" spans="1:34" ht="18.75" customHeight="1">
      <c r="A11" s="116"/>
      <c r="B11" s="337"/>
      <c r="C11" s="562" t="s">
        <v>8</v>
      </c>
      <c r="D11" s="563"/>
      <c r="E11" s="566" t="s">
        <v>2378</v>
      </c>
      <c r="F11" s="567"/>
      <c r="G11" s="568"/>
      <c r="H11" s="528" t="s">
        <v>2379</v>
      </c>
      <c r="I11" s="529"/>
      <c r="J11" s="529"/>
      <c r="K11" s="530"/>
      <c r="L11" s="531" t="s">
        <v>2380</v>
      </c>
      <c r="M11" s="532"/>
      <c r="N11" s="533"/>
      <c r="O11" s="423"/>
      <c r="P11" s="472"/>
      <c r="Q11" s="474" t="s">
        <v>2389</v>
      </c>
      <c r="R11" s="556" t="s">
        <v>2387</v>
      </c>
      <c r="S11" s="556"/>
      <c r="T11" s="556" t="s">
        <v>2388</v>
      </c>
      <c r="U11" s="556"/>
      <c r="V11" s="473" t="s">
        <v>13</v>
      </c>
      <c r="W11" s="416"/>
      <c r="X11" s="521"/>
      <c r="Y11" s="522"/>
      <c r="Z11" s="522"/>
      <c r="AA11" s="522"/>
      <c r="AB11" s="522"/>
      <c r="AC11" s="522"/>
      <c r="AD11" s="522"/>
      <c r="AE11" s="522"/>
      <c r="AF11" s="523"/>
      <c r="AG11" s="349"/>
      <c r="AH11" s="116"/>
    </row>
    <row r="12" spans="1:34" ht="18.75" customHeight="1">
      <c r="A12" s="116"/>
      <c r="B12" s="337"/>
      <c r="C12" s="564"/>
      <c r="D12" s="565"/>
      <c r="E12" s="432" t="s">
        <v>1967</v>
      </c>
      <c r="F12" s="426" t="s">
        <v>2326</v>
      </c>
      <c r="G12" s="433" t="s">
        <v>2350</v>
      </c>
      <c r="H12" s="432" t="s">
        <v>2360</v>
      </c>
      <c r="I12" s="425" t="s">
        <v>1967</v>
      </c>
      <c r="J12" s="426" t="s">
        <v>2326</v>
      </c>
      <c r="K12" s="433" t="s">
        <v>2350</v>
      </c>
      <c r="L12" s="432" t="s">
        <v>2360</v>
      </c>
      <c r="M12" s="434" t="s">
        <v>1967</v>
      </c>
      <c r="N12" s="427" t="s">
        <v>2346</v>
      </c>
      <c r="O12" s="423">
        <v>1</v>
      </c>
      <c r="P12" s="416" t="s">
        <v>2354</v>
      </c>
      <c r="Q12" s="439" t="s">
        <v>2370</v>
      </c>
      <c r="R12" s="557">
        <v>20</v>
      </c>
      <c r="S12" s="557"/>
      <c r="T12" s="572">
        <f>+COUNTIFS('2. Status Detalhe Campos FY24'!$C:$C,"*Pilar*",'2. Status Detalhe Campos FY24'!$I:$I,"*"&amp;O12&amp;"*",'2. Status Detalhe Campos FY24'!T:T,"*Novo Plano*")</f>
        <v>20</v>
      </c>
      <c r="U12" s="572"/>
      <c r="V12" s="161" t="s">
        <v>621</v>
      </c>
      <c r="W12" s="416"/>
      <c r="X12" s="521"/>
      <c r="Y12" s="522"/>
      <c r="Z12" s="522"/>
      <c r="AA12" s="522"/>
      <c r="AB12" s="522"/>
      <c r="AC12" s="522"/>
      <c r="AD12" s="522"/>
      <c r="AE12" s="522"/>
      <c r="AF12" s="523"/>
      <c r="AG12" s="349"/>
      <c r="AH12" s="116"/>
    </row>
    <row r="13" spans="1:34" ht="18.75" customHeight="1">
      <c r="A13" s="116"/>
      <c r="B13" s="337"/>
      <c r="C13" s="558" t="s">
        <v>2351</v>
      </c>
      <c r="D13" s="559"/>
      <c r="E13" s="440">
        <v>49</v>
      </c>
      <c r="F13" s="443">
        <v>49</v>
      </c>
      <c r="G13" s="483">
        <f>+F13-E13</f>
        <v>0</v>
      </c>
      <c r="H13" s="440">
        <f>+IF(G13&lt;0,-G13,0)</f>
        <v>0</v>
      </c>
      <c r="I13" s="443">
        <v>0</v>
      </c>
      <c r="J13" s="484">
        <v>0</v>
      </c>
      <c r="K13" s="483">
        <f t="shared" ref="K13:K21" si="0">+J13-I13</f>
        <v>0</v>
      </c>
      <c r="L13" s="440">
        <f t="shared" ref="L13:L21" si="1">+IF(K13&lt;0,-K13,0)</f>
        <v>0</v>
      </c>
      <c r="M13" s="444">
        <f>+COUNTIFS('2. Status Detalhe Campos FY24'!$C:$C,"*Bens Imóveis*",'2. Status Detalhe Campos FY24'!$I:$I,"*"&amp;$L$10&amp;"*")</f>
        <v>0</v>
      </c>
      <c r="N13" s="485">
        <f>+M13+L13</f>
        <v>0</v>
      </c>
      <c r="O13" s="423">
        <v>2</v>
      </c>
      <c r="P13" s="416" t="s">
        <v>2355</v>
      </c>
      <c r="Q13" s="439" t="s">
        <v>2371</v>
      </c>
      <c r="R13" s="557">
        <v>15</v>
      </c>
      <c r="S13" s="557"/>
      <c r="T13" s="573">
        <f>+COUNTIFS('2. Status Detalhe Campos FY24'!$C:$C,"*Pilar*",'2. Status Detalhe Campos FY24'!$I:$I,"*"&amp;O13&amp;"*",'2. Status Detalhe Campos FY24'!T:T,"*Novo Plano*")</f>
        <v>14</v>
      </c>
      <c r="U13" s="573"/>
      <c r="V13" s="161" t="s">
        <v>621</v>
      </c>
      <c r="W13" s="416"/>
      <c r="X13" s="521"/>
      <c r="Y13" s="522"/>
      <c r="Z13" s="522"/>
      <c r="AA13" s="522"/>
      <c r="AB13" s="522"/>
      <c r="AC13" s="522"/>
      <c r="AD13" s="522"/>
      <c r="AE13" s="522"/>
      <c r="AF13" s="523"/>
      <c r="AG13" s="349"/>
      <c r="AH13" s="116"/>
    </row>
    <row r="14" spans="1:34" ht="18.75" customHeight="1">
      <c r="A14" s="116"/>
      <c r="B14" s="337"/>
      <c r="C14" s="424" t="s">
        <v>2386</v>
      </c>
      <c r="D14" s="429"/>
      <c r="E14" s="445">
        <v>49</v>
      </c>
      <c r="F14" s="448">
        <v>49</v>
      </c>
      <c r="G14" s="486">
        <f t="shared" ref="G14:G21" si="2">+F14-E14</f>
        <v>0</v>
      </c>
      <c r="H14" s="445">
        <f t="shared" ref="H14:H21" si="3">+IF(G14&lt;0,-G14,0)</f>
        <v>0</v>
      </c>
      <c r="I14" s="448">
        <v>0</v>
      </c>
      <c r="J14" s="487">
        <v>0</v>
      </c>
      <c r="K14" s="486">
        <f t="shared" si="0"/>
        <v>0</v>
      </c>
      <c r="L14" s="445">
        <f t="shared" si="1"/>
        <v>0</v>
      </c>
      <c r="M14" s="449">
        <f>+COUNTIFS('2. Status Detalhe Campos FY24'!$C:$C,"*Bens Imóveis*",'2. Status Detalhe Campos FY24'!$I:$I,"*"&amp;$L$10&amp;"*",'2. Status Detalhe Campos FY24'!T:T,"*anterior*")</f>
        <v>0</v>
      </c>
      <c r="N14" s="486">
        <f t="shared" ref="N14:N21" si="4">+M14+L14</f>
        <v>0</v>
      </c>
      <c r="O14" s="423">
        <v>3</v>
      </c>
      <c r="P14" s="416" t="s">
        <v>2356</v>
      </c>
      <c r="Q14" s="439" t="s">
        <v>2372</v>
      </c>
      <c r="R14" s="557">
        <v>14</v>
      </c>
      <c r="S14" s="557"/>
      <c r="T14" s="573">
        <f>+COUNTIFS('2. Status Detalhe Campos FY24'!$C:$C,"*Pilar*",'2. Status Detalhe Campos FY24'!$I:$I,"*"&amp;O14&amp;"*",'2. Status Detalhe Campos FY24'!T:T,"*Novo Plano*")</f>
        <v>16</v>
      </c>
      <c r="U14" s="573"/>
      <c r="V14" s="161" t="s">
        <v>621</v>
      </c>
      <c r="W14" s="416"/>
      <c r="X14" s="521"/>
      <c r="Y14" s="522"/>
      <c r="Z14" s="522"/>
      <c r="AA14" s="522"/>
      <c r="AB14" s="522"/>
      <c r="AC14" s="522"/>
      <c r="AD14" s="522"/>
      <c r="AE14" s="522"/>
      <c r="AF14" s="523"/>
      <c r="AG14" s="349"/>
      <c r="AH14" s="116"/>
    </row>
    <row r="15" spans="1:34" ht="18.75" customHeight="1">
      <c r="A15" s="116"/>
      <c r="B15" s="337"/>
      <c r="C15" s="428" t="s">
        <v>2376</v>
      </c>
      <c r="D15" s="430"/>
      <c r="E15" s="450">
        <v>0</v>
      </c>
      <c r="F15" s="453">
        <v>0</v>
      </c>
      <c r="G15" s="488">
        <f t="shared" si="2"/>
        <v>0</v>
      </c>
      <c r="H15" s="450">
        <f t="shared" si="3"/>
        <v>0</v>
      </c>
      <c r="I15" s="453">
        <v>0</v>
      </c>
      <c r="J15" s="489">
        <v>0</v>
      </c>
      <c r="K15" s="488">
        <f t="shared" si="0"/>
        <v>0</v>
      </c>
      <c r="L15" s="450">
        <f t="shared" si="1"/>
        <v>0</v>
      </c>
      <c r="M15" s="454">
        <f>+COUNTIFS('2. Status Detalhe Campos FY24'!$C:$C,"*Bens Imóveis*",'2. Status Detalhe Campos FY24'!$I:$I,"*"&amp;$L$10&amp;"*",'2. Status Detalhe Campos FY24'!T:T,"*Novo Plano*")</f>
        <v>0</v>
      </c>
      <c r="N15" s="488">
        <f t="shared" si="4"/>
        <v>0</v>
      </c>
      <c r="O15" s="423">
        <v>4</v>
      </c>
      <c r="P15" s="416" t="s">
        <v>2357</v>
      </c>
      <c r="Q15" s="439" t="s">
        <v>2373</v>
      </c>
      <c r="R15" s="557">
        <v>13</v>
      </c>
      <c r="S15" s="557"/>
      <c r="T15" s="573">
        <f>+COUNTIFS('2. Status Detalhe Campos FY24'!$C:$C,"*Pilar*",'2. Status Detalhe Campos FY24'!$I:$I,"*"&amp;O15&amp;"*",'2. Status Detalhe Campos FY24'!T:T,"*Novo Plano*")</f>
        <v>14</v>
      </c>
      <c r="U15" s="573"/>
      <c r="V15" s="401" t="s">
        <v>2338</v>
      </c>
      <c r="W15" s="416"/>
      <c r="X15" s="521"/>
      <c r="Y15" s="522"/>
      <c r="Z15" s="522"/>
      <c r="AA15" s="522"/>
      <c r="AB15" s="522"/>
      <c r="AC15" s="522"/>
      <c r="AD15" s="522"/>
      <c r="AE15" s="522"/>
      <c r="AF15" s="523"/>
      <c r="AG15" s="349"/>
      <c r="AH15" s="116"/>
    </row>
    <row r="16" spans="1:34" ht="18.75" customHeight="1">
      <c r="A16" s="116"/>
      <c r="B16" s="337"/>
      <c r="C16" s="558" t="s">
        <v>29</v>
      </c>
      <c r="D16" s="559"/>
      <c r="E16" s="440">
        <v>21</v>
      </c>
      <c r="F16" s="461">
        <v>21</v>
      </c>
      <c r="G16" s="490">
        <f t="shared" si="2"/>
        <v>0</v>
      </c>
      <c r="H16" s="460">
        <f t="shared" si="3"/>
        <v>0</v>
      </c>
      <c r="I16" s="461">
        <v>13</v>
      </c>
      <c r="J16" s="491">
        <v>13</v>
      </c>
      <c r="K16" s="490">
        <f t="shared" si="0"/>
        <v>0</v>
      </c>
      <c r="L16" s="460">
        <f t="shared" si="1"/>
        <v>0</v>
      </c>
      <c r="M16" s="462">
        <f>+COUNTIFS('2. Status Detalhe Campos FY24'!$C:$C,"*Verde*",'2. Status Detalhe Campos FY24'!$I:$I,"*"&amp;$L$10&amp;"*")</f>
        <v>0</v>
      </c>
      <c r="N16" s="492">
        <f t="shared" si="4"/>
        <v>0</v>
      </c>
      <c r="O16" s="423">
        <v>5</v>
      </c>
      <c r="P16" s="472" t="s">
        <v>2358</v>
      </c>
      <c r="Q16" s="476" t="s">
        <v>2374</v>
      </c>
      <c r="R16" s="569">
        <v>6</v>
      </c>
      <c r="S16" s="569"/>
      <c r="T16" s="574">
        <f>+COUNTIFS('2. Status Detalhe Campos FY24'!$C:$C,"*Pilar*",'2. Status Detalhe Campos FY24'!$I:$I,"*"&amp;O16&amp;"*",'2. Status Detalhe Campos FY24'!T:T,"*Novo Plano*")</f>
        <v>7</v>
      </c>
      <c r="U16" s="574"/>
      <c r="V16" s="477" t="s">
        <v>2338</v>
      </c>
      <c r="W16" s="416"/>
      <c r="X16" s="521"/>
      <c r="Y16" s="522"/>
      <c r="Z16" s="522"/>
      <c r="AA16" s="522"/>
      <c r="AB16" s="522"/>
      <c r="AC16" s="522"/>
      <c r="AD16" s="522"/>
      <c r="AE16" s="522"/>
      <c r="AF16" s="523"/>
      <c r="AG16" s="349"/>
      <c r="AH16" s="116"/>
    </row>
    <row r="17" spans="1:34" ht="18.75" customHeight="1">
      <c r="A17" s="116"/>
      <c r="B17" s="337"/>
      <c r="C17" s="424" t="s">
        <v>2386</v>
      </c>
      <c r="D17" s="429"/>
      <c r="E17" s="445">
        <v>1</v>
      </c>
      <c r="F17" s="421">
        <v>1</v>
      </c>
      <c r="G17" s="486">
        <f t="shared" si="2"/>
        <v>0</v>
      </c>
      <c r="H17" s="463">
        <f t="shared" si="3"/>
        <v>0</v>
      </c>
      <c r="I17" s="421">
        <v>8</v>
      </c>
      <c r="J17" s="493">
        <v>8</v>
      </c>
      <c r="K17" s="486">
        <f t="shared" si="0"/>
        <v>0</v>
      </c>
      <c r="L17" s="463">
        <f t="shared" si="1"/>
        <v>0</v>
      </c>
      <c r="M17" s="464">
        <f>+COUNTIFS('2. Status Detalhe Campos FY24'!$C:$C,"*Verde*",'2. Status Detalhe Campos FY24'!$I:$I,"*"&amp;$L$10&amp;"*",'2. Status Detalhe Campos FY24'!T:T,"*anterior*")</f>
        <v>0</v>
      </c>
      <c r="N17" s="494">
        <f t="shared" si="4"/>
        <v>0</v>
      </c>
      <c r="O17" s="416"/>
      <c r="P17" s="475" t="s">
        <v>2390</v>
      </c>
      <c r="Q17" s="416"/>
      <c r="R17" s="570">
        <f>+SUM(R12:S16)</f>
        <v>68</v>
      </c>
      <c r="S17" s="570"/>
      <c r="T17" s="571">
        <f>+SUM(T12:T16)</f>
        <v>71</v>
      </c>
      <c r="U17" s="571"/>
      <c r="V17" s="478"/>
      <c r="W17" s="416"/>
      <c r="X17" s="521"/>
      <c r="Y17" s="522"/>
      <c r="Z17" s="522"/>
      <c r="AA17" s="522"/>
      <c r="AB17" s="522"/>
      <c r="AC17" s="522"/>
      <c r="AD17" s="522"/>
      <c r="AE17" s="522"/>
      <c r="AF17" s="523"/>
      <c r="AG17" s="349"/>
      <c r="AH17" s="116"/>
    </row>
    <row r="18" spans="1:34" ht="18.75" customHeight="1">
      <c r="A18" s="116"/>
      <c r="B18" s="337"/>
      <c r="C18" s="428" t="s">
        <v>2376</v>
      </c>
      <c r="D18" s="430"/>
      <c r="E18" s="450">
        <v>20</v>
      </c>
      <c r="F18" s="466">
        <v>20</v>
      </c>
      <c r="G18" s="488">
        <f t="shared" si="2"/>
        <v>0</v>
      </c>
      <c r="H18" s="465">
        <f t="shared" si="3"/>
        <v>0</v>
      </c>
      <c r="I18" s="466">
        <v>5</v>
      </c>
      <c r="J18" s="495">
        <v>5</v>
      </c>
      <c r="K18" s="488">
        <f t="shared" si="0"/>
        <v>0</v>
      </c>
      <c r="L18" s="465">
        <f t="shared" si="1"/>
        <v>0</v>
      </c>
      <c r="M18" s="467">
        <f>+COUNTIFS('2. Status Detalhe Campos FY24'!$C:$C,"*Verde*",'2. Status Detalhe Campos FY24'!$I:$I,"*"&amp;$L$10&amp;"*",'2. Status Detalhe Campos FY24'!T:T,"*Novo Plano*")</f>
        <v>0</v>
      </c>
      <c r="N18" s="496">
        <f t="shared" si="4"/>
        <v>0</v>
      </c>
      <c r="O18" s="416"/>
      <c r="P18" s="401"/>
      <c r="Q18" s="438"/>
      <c r="R18" s="471"/>
      <c r="S18" s="416"/>
      <c r="T18" s="416"/>
      <c r="U18" s="416"/>
      <c r="V18" s="416"/>
      <c r="W18" s="416"/>
      <c r="X18" s="521"/>
      <c r="Y18" s="522"/>
      <c r="Z18" s="522"/>
      <c r="AA18" s="522"/>
      <c r="AB18" s="522"/>
      <c r="AC18" s="522"/>
      <c r="AD18" s="522"/>
      <c r="AE18" s="522"/>
      <c r="AF18" s="523"/>
      <c r="AG18" s="349"/>
      <c r="AH18" s="116"/>
    </row>
    <row r="19" spans="1:34" ht="18.75" customHeight="1">
      <c r="A19" s="116"/>
      <c r="B19" s="337"/>
      <c r="C19" s="558" t="s">
        <v>2352</v>
      </c>
      <c r="D19" s="559"/>
      <c r="E19" s="440">
        <v>20</v>
      </c>
      <c r="F19" s="461">
        <v>20</v>
      </c>
      <c r="G19" s="490">
        <f t="shared" si="2"/>
        <v>0</v>
      </c>
      <c r="H19" s="460">
        <f t="shared" si="3"/>
        <v>0</v>
      </c>
      <c r="I19" s="461">
        <v>32</v>
      </c>
      <c r="J19" s="491">
        <v>32</v>
      </c>
      <c r="K19" s="490">
        <f t="shared" si="0"/>
        <v>0</v>
      </c>
      <c r="L19" s="460">
        <f t="shared" si="1"/>
        <v>0</v>
      </c>
      <c r="M19" s="462">
        <f>+COUNTIFS('2. Status Detalhe Campos FY24'!$C:$C,"*Pilar*",'2. Status Detalhe Campos FY24'!$I:$I,"*"&amp;$L$10&amp;"*")</f>
        <v>14</v>
      </c>
      <c r="N19" s="492">
        <f t="shared" si="4"/>
        <v>14</v>
      </c>
      <c r="O19" s="416"/>
      <c r="P19" s="401"/>
      <c r="Q19" s="416"/>
      <c r="R19" s="416"/>
      <c r="S19" s="416"/>
      <c r="T19" s="416"/>
      <c r="U19" s="416"/>
      <c r="V19" s="416"/>
      <c r="W19" s="416"/>
      <c r="X19" s="521"/>
      <c r="Y19" s="522"/>
      <c r="Z19" s="522"/>
      <c r="AA19" s="522"/>
      <c r="AB19" s="522"/>
      <c r="AC19" s="522"/>
      <c r="AD19" s="522"/>
      <c r="AE19" s="522"/>
      <c r="AF19" s="523"/>
      <c r="AG19" s="349"/>
      <c r="AH19" s="116"/>
    </row>
    <row r="20" spans="1:34" ht="18.75" customHeight="1">
      <c r="A20" s="116"/>
      <c r="B20" s="337"/>
      <c r="C20" s="424" t="s">
        <v>2386</v>
      </c>
      <c r="D20" s="431"/>
      <c r="E20" s="445">
        <v>0</v>
      </c>
      <c r="F20" s="469">
        <v>0</v>
      </c>
      <c r="G20" s="497">
        <f t="shared" si="2"/>
        <v>0</v>
      </c>
      <c r="H20" s="468">
        <f t="shared" si="3"/>
        <v>0</v>
      </c>
      <c r="I20" s="469">
        <v>2</v>
      </c>
      <c r="J20" s="498">
        <v>2</v>
      </c>
      <c r="K20" s="497">
        <f t="shared" si="0"/>
        <v>0</v>
      </c>
      <c r="L20" s="468">
        <f t="shared" si="1"/>
        <v>0</v>
      </c>
      <c r="M20" s="470">
        <f>+COUNTIFS('2. Status Detalhe Campos FY24'!$C:$C,"*Pilar*",'2. Status Detalhe Campos FY24'!$I:$I,"*"&amp;$L$10&amp;"*",'2. Status Detalhe Campos FY24'!T:T,"*anterior*")</f>
        <v>0</v>
      </c>
      <c r="N20" s="499">
        <f t="shared" si="4"/>
        <v>0</v>
      </c>
      <c r="O20" s="416"/>
      <c r="P20" s="401"/>
      <c r="Q20" s="416"/>
      <c r="R20" s="416"/>
      <c r="S20" s="416"/>
      <c r="T20" s="416"/>
      <c r="U20" s="416"/>
      <c r="V20" s="416"/>
      <c r="W20" s="416"/>
      <c r="X20" s="521"/>
      <c r="Y20" s="522"/>
      <c r="Z20" s="522"/>
      <c r="AA20" s="522"/>
      <c r="AB20" s="522"/>
      <c r="AC20" s="522"/>
      <c r="AD20" s="522"/>
      <c r="AE20" s="522"/>
      <c r="AF20" s="523"/>
      <c r="AG20" s="349"/>
      <c r="AH20" s="116"/>
    </row>
    <row r="21" spans="1:34" ht="18.75" customHeight="1">
      <c r="A21" s="116"/>
      <c r="B21" s="337"/>
      <c r="C21" s="428" t="s">
        <v>2376</v>
      </c>
      <c r="D21" s="430"/>
      <c r="E21" s="450">
        <v>20</v>
      </c>
      <c r="F21" s="466">
        <v>20</v>
      </c>
      <c r="G21" s="488">
        <f t="shared" si="2"/>
        <v>0</v>
      </c>
      <c r="H21" s="465">
        <f t="shared" si="3"/>
        <v>0</v>
      </c>
      <c r="I21" s="466">
        <v>30</v>
      </c>
      <c r="J21" s="495">
        <v>30</v>
      </c>
      <c r="K21" s="488">
        <f t="shared" si="0"/>
        <v>0</v>
      </c>
      <c r="L21" s="500">
        <f t="shared" si="1"/>
        <v>0</v>
      </c>
      <c r="M21" s="466">
        <f>+COUNTIFS('2. Status Detalhe Campos FY24'!$C:$C,"*Pilar*",'2. Status Detalhe Campos FY24'!$I:$I,"*"&amp;$L$10&amp;"*",'2. Status Detalhe Campos FY24'!T:T,"*Novo Plano*")</f>
        <v>14</v>
      </c>
      <c r="N21" s="501">
        <f t="shared" si="4"/>
        <v>14</v>
      </c>
      <c r="O21" s="416"/>
      <c r="P21" s="401"/>
      <c r="Q21" s="416"/>
      <c r="R21" s="416"/>
      <c r="S21" s="416"/>
      <c r="T21" s="416"/>
      <c r="U21" s="416"/>
      <c r="V21" s="416"/>
      <c r="W21" s="416"/>
      <c r="X21" s="521"/>
      <c r="Y21" s="522"/>
      <c r="Z21" s="522"/>
      <c r="AA21" s="522"/>
      <c r="AB21" s="522"/>
      <c r="AC21" s="522"/>
      <c r="AD21" s="522"/>
      <c r="AE21" s="522"/>
      <c r="AF21" s="523"/>
      <c r="AG21" s="349"/>
      <c r="AH21" s="116"/>
    </row>
    <row r="22" spans="1:34" ht="18.75" customHeight="1">
      <c r="A22" s="116"/>
      <c r="B22" s="337"/>
      <c r="C22" s="560" t="s">
        <v>2346</v>
      </c>
      <c r="D22" s="561"/>
      <c r="E22" s="455">
        <v>90</v>
      </c>
      <c r="F22" s="456">
        <v>90</v>
      </c>
      <c r="G22" s="458">
        <v>0</v>
      </c>
      <c r="H22" s="455">
        <f t="shared" ref="H22:N22" si="5">+SUM(H13,H16,H19)</f>
        <v>0</v>
      </c>
      <c r="I22" s="456">
        <v>45</v>
      </c>
      <c r="J22" s="502">
        <v>45</v>
      </c>
      <c r="K22" s="458">
        <f t="shared" si="5"/>
        <v>0</v>
      </c>
      <c r="L22" s="455">
        <f t="shared" si="5"/>
        <v>0</v>
      </c>
      <c r="M22" s="457">
        <f t="shared" si="5"/>
        <v>14</v>
      </c>
      <c r="N22" s="459">
        <f t="shared" si="5"/>
        <v>14</v>
      </c>
      <c r="O22" s="416"/>
      <c r="P22" s="401"/>
      <c r="Q22" s="416"/>
      <c r="R22" s="416"/>
      <c r="S22" s="416"/>
      <c r="T22" s="416"/>
      <c r="U22" s="416"/>
      <c r="V22" s="416"/>
      <c r="W22" s="416"/>
      <c r="X22" s="521"/>
      <c r="Y22" s="522"/>
      <c r="Z22" s="522"/>
      <c r="AA22" s="522"/>
      <c r="AB22" s="522"/>
      <c r="AC22" s="522"/>
      <c r="AD22" s="522"/>
      <c r="AE22" s="522"/>
      <c r="AF22" s="523"/>
      <c r="AG22" s="349"/>
      <c r="AH22" s="116"/>
    </row>
    <row r="23" spans="1:34" ht="18.75" customHeight="1">
      <c r="A23" s="116"/>
      <c r="B23" s="337"/>
      <c r="C23" s="416"/>
      <c r="D23" s="416"/>
      <c r="E23" s="348"/>
      <c r="F23" s="348"/>
      <c r="G23" s="416"/>
      <c r="H23" s="416"/>
      <c r="I23" s="416"/>
      <c r="J23" s="416"/>
      <c r="K23" s="416"/>
      <c r="L23" s="416"/>
      <c r="M23" s="416"/>
      <c r="N23" s="416"/>
      <c r="O23" s="416"/>
      <c r="P23" s="348"/>
      <c r="Q23" s="416"/>
      <c r="R23" s="416"/>
      <c r="S23" s="416"/>
      <c r="T23" s="416"/>
      <c r="U23" s="416"/>
      <c r="V23" s="416"/>
      <c r="W23" s="416"/>
      <c r="X23" s="521"/>
      <c r="Y23" s="522"/>
      <c r="Z23" s="522"/>
      <c r="AA23" s="522"/>
      <c r="AB23" s="522"/>
      <c r="AC23" s="522"/>
      <c r="AD23" s="522"/>
      <c r="AE23" s="522"/>
      <c r="AF23" s="523"/>
      <c r="AG23" s="349"/>
      <c r="AH23" s="116"/>
    </row>
    <row r="24" spans="1:34" ht="18.75" customHeight="1">
      <c r="A24" s="116"/>
      <c r="B24" s="337"/>
      <c r="C24" s="436" t="s">
        <v>2363</v>
      </c>
      <c r="D24" s="416"/>
      <c r="E24" s="416"/>
      <c r="F24" s="416"/>
      <c r="G24" s="416"/>
      <c r="H24" s="416"/>
      <c r="I24" s="416"/>
      <c r="J24" s="416"/>
      <c r="K24" s="416"/>
      <c r="L24" s="416"/>
      <c r="M24" s="416"/>
      <c r="N24" s="416"/>
      <c r="O24" s="416"/>
      <c r="P24" s="348"/>
      <c r="Q24" s="416"/>
      <c r="R24" s="154"/>
      <c r="S24" s="416"/>
      <c r="T24" s="416"/>
      <c r="U24" s="416"/>
      <c r="V24" s="416"/>
      <c r="W24" s="416"/>
      <c r="X24" s="521"/>
      <c r="Y24" s="522"/>
      <c r="Z24" s="522"/>
      <c r="AA24" s="522"/>
      <c r="AB24" s="522"/>
      <c r="AC24" s="522"/>
      <c r="AD24" s="522"/>
      <c r="AE24" s="522"/>
      <c r="AF24" s="523"/>
      <c r="AG24" s="349"/>
      <c r="AH24" s="116"/>
    </row>
    <row r="25" spans="1:34" ht="18.75" customHeight="1">
      <c r="A25" s="116"/>
      <c r="B25" s="337"/>
      <c r="C25" s="416"/>
      <c r="D25" s="416"/>
      <c r="E25" s="423">
        <v>1</v>
      </c>
      <c r="F25" s="423"/>
      <c r="G25" s="423"/>
      <c r="H25" s="423"/>
      <c r="I25" s="423">
        <v>1</v>
      </c>
      <c r="J25" s="423"/>
      <c r="K25" s="416"/>
      <c r="L25" s="416"/>
      <c r="M25" s="416"/>
      <c r="N25" s="416"/>
      <c r="O25" s="416"/>
      <c r="P25" s="422">
        <v>2</v>
      </c>
      <c r="Q25" s="416"/>
      <c r="R25" s="416"/>
      <c r="S25" s="416"/>
      <c r="T25" s="416"/>
      <c r="U25" s="416"/>
      <c r="V25" s="416"/>
      <c r="W25" s="416"/>
      <c r="X25" s="521"/>
      <c r="Y25" s="522"/>
      <c r="Z25" s="522"/>
      <c r="AA25" s="522"/>
      <c r="AB25" s="522"/>
      <c r="AC25" s="522"/>
      <c r="AD25" s="522"/>
      <c r="AE25" s="522"/>
      <c r="AF25" s="523"/>
      <c r="AG25" s="349"/>
      <c r="AH25" s="116"/>
    </row>
    <row r="26" spans="1:34" ht="18.75" customHeight="1">
      <c r="A26" s="116"/>
      <c r="B26" s="337"/>
      <c r="C26" s="562" t="s">
        <v>8</v>
      </c>
      <c r="D26" s="563"/>
      <c r="E26" s="531" t="s">
        <v>2359</v>
      </c>
      <c r="F26" s="532"/>
      <c r="G26" s="532"/>
      <c r="H26" s="532"/>
      <c r="I26" s="533"/>
      <c r="J26" s="528" t="s">
        <v>2365</v>
      </c>
      <c r="K26" s="529"/>
      <c r="L26" s="529"/>
      <c r="M26" s="529"/>
      <c r="N26" s="529"/>
      <c r="O26" s="530"/>
      <c r="P26" s="531" t="s">
        <v>2366</v>
      </c>
      <c r="Q26" s="532"/>
      <c r="R26" s="533"/>
      <c r="S26" s="416"/>
      <c r="T26" s="416"/>
      <c r="U26" s="161"/>
      <c r="V26" s="416"/>
      <c r="W26" s="416"/>
      <c r="X26" s="521"/>
      <c r="Y26" s="522"/>
      <c r="Z26" s="522"/>
      <c r="AA26" s="522"/>
      <c r="AB26" s="522"/>
      <c r="AC26" s="522"/>
      <c r="AD26" s="522"/>
      <c r="AE26" s="522"/>
      <c r="AF26" s="523"/>
      <c r="AG26" s="349"/>
      <c r="AH26" s="116"/>
    </row>
    <row r="27" spans="1:34" ht="18.75" customHeight="1">
      <c r="A27" s="116"/>
      <c r="B27" s="337"/>
      <c r="C27" s="564"/>
      <c r="D27" s="565"/>
      <c r="E27" s="432" t="s">
        <v>1967</v>
      </c>
      <c r="F27" s="426" t="s">
        <v>2367</v>
      </c>
      <c r="G27" s="435" t="s">
        <v>2368</v>
      </c>
      <c r="H27" s="437" t="s">
        <v>2369</v>
      </c>
      <c r="I27" s="433" t="s">
        <v>2350</v>
      </c>
      <c r="J27" s="432" t="s">
        <v>2360</v>
      </c>
      <c r="K27" s="425" t="s">
        <v>1967</v>
      </c>
      <c r="L27" s="426" t="s">
        <v>2367</v>
      </c>
      <c r="M27" s="435" t="s">
        <v>2368</v>
      </c>
      <c r="N27" s="437" t="s">
        <v>2369</v>
      </c>
      <c r="O27" s="433" t="s">
        <v>2350</v>
      </c>
      <c r="P27" s="432" t="s">
        <v>2360</v>
      </c>
      <c r="Q27" s="434" t="s">
        <v>1967</v>
      </c>
      <c r="R27" s="427" t="s">
        <v>2346</v>
      </c>
      <c r="S27" s="416"/>
      <c r="T27" s="416"/>
      <c r="U27" s="401"/>
      <c r="V27" s="416"/>
      <c r="W27" s="416"/>
      <c r="X27" s="521"/>
      <c r="Y27" s="522"/>
      <c r="Z27" s="522"/>
      <c r="AA27" s="522"/>
      <c r="AB27" s="522"/>
      <c r="AC27" s="522"/>
      <c r="AD27" s="522"/>
      <c r="AE27" s="522"/>
      <c r="AF27" s="523"/>
      <c r="AG27" s="349"/>
      <c r="AH27" s="116"/>
    </row>
    <row r="28" spans="1:34" ht="18.75" customHeight="1">
      <c r="A28" s="116"/>
      <c r="B28" s="337"/>
      <c r="C28" s="558" t="s">
        <v>2351</v>
      </c>
      <c r="D28" s="559"/>
      <c r="E28" s="503">
        <v>1</v>
      </c>
      <c r="F28" s="504">
        <v>1</v>
      </c>
      <c r="G28" s="505">
        <v>0</v>
      </c>
      <c r="H28" s="505">
        <v>0</v>
      </c>
      <c r="I28" s="506">
        <v>0</v>
      </c>
      <c r="J28" s="440">
        <v>1</v>
      </c>
      <c r="K28" s="443">
        <v>0</v>
      </c>
      <c r="L28" s="441">
        <v>0</v>
      </c>
      <c r="M28" s="484">
        <v>1</v>
      </c>
      <c r="N28" s="442">
        <v>0</v>
      </c>
      <c r="O28" s="483">
        <f>+SUM(J28:K28)-SUM(L28:N28)</f>
        <v>0</v>
      </c>
      <c r="P28" s="503">
        <v>0</v>
      </c>
      <c r="Q28" s="505">
        <f>+COUNTIFS('2. Status Detalhe Campos FY24'!$C:$C,"*Bens Imóveis*",'2. Status Detalhe Campos FY24'!$J:$J,"*"&amp;$P$25&amp;"*")</f>
        <v>0</v>
      </c>
      <c r="R28" s="507">
        <f>+Q28+P28</f>
        <v>0</v>
      </c>
      <c r="S28" s="416"/>
      <c r="T28" s="416"/>
      <c r="U28" s="401"/>
      <c r="V28" s="416"/>
      <c r="W28" s="416"/>
      <c r="X28" s="521"/>
      <c r="Y28" s="522"/>
      <c r="Z28" s="522"/>
      <c r="AA28" s="522"/>
      <c r="AB28" s="522"/>
      <c r="AC28" s="522"/>
      <c r="AD28" s="522"/>
      <c r="AE28" s="522"/>
      <c r="AF28" s="523"/>
      <c r="AG28" s="349"/>
      <c r="AH28" s="116"/>
    </row>
    <row r="29" spans="1:34" ht="18.75" customHeight="1">
      <c r="A29" s="116"/>
      <c r="B29" s="337"/>
      <c r="C29" s="424" t="s">
        <v>2377</v>
      </c>
      <c r="D29" s="429"/>
      <c r="E29" s="508">
        <v>1</v>
      </c>
      <c r="F29" s="509">
        <v>1</v>
      </c>
      <c r="G29" s="510">
        <v>0</v>
      </c>
      <c r="H29" s="510">
        <v>0</v>
      </c>
      <c r="I29" s="511">
        <v>0</v>
      </c>
      <c r="J29" s="445">
        <v>1</v>
      </c>
      <c r="K29" s="448">
        <v>0</v>
      </c>
      <c r="L29" s="446">
        <v>0</v>
      </c>
      <c r="M29" s="487">
        <v>1</v>
      </c>
      <c r="N29" s="447">
        <v>0</v>
      </c>
      <c r="O29" s="486">
        <f t="shared" ref="O29:O36" si="6">+SUM(J29:K29)-SUM(L29:N29)</f>
        <v>0</v>
      </c>
      <c r="P29" s="508">
        <f t="shared" ref="P29:P36" si="7">+IF(O29&lt;0,-O29,0)</f>
        <v>0</v>
      </c>
      <c r="Q29" s="510">
        <f>+COUNTIFS('2. Status Detalhe Campos FY24'!$C:$C,"*Bens Imóveis*",'2. Status Detalhe Campos FY24'!$J:$J,"*"&amp;$P$25&amp;"*",'2. Status Detalhe Campos FY24'!T:T,"*anterior*")</f>
        <v>0</v>
      </c>
      <c r="R29" s="511">
        <f t="shared" ref="R29:R36" si="8">+Q29+P29</f>
        <v>0</v>
      </c>
      <c r="S29" s="416"/>
      <c r="T29" s="348"/>
      <c r="U29" s="416"/>
      <c r="V29" s="416"/>
      <c r="W29" s="416"/>
      <c r="X29" s="521"/>
      <c r="Y29" s="522"/>
      <c r="Z29" s="522"/>
      <c r="AA29" s="522"/>
      <c r="AB29" s="522"/>
      <c r="AC29" s="522"/>
      <c r="AD29" s="522"/>
      <c r="AE29" s="522"/>
      <c r="AF29" s="523"/>
      <c r="AG29" s="349"/>
      <c r="AH29" s="116"/>
    </row>
    <row r="30" spans="1:34" ht="18.75" customHeight="1">
      <c r="A30" s="116"/>
      <c r="B30" s="337"/>
      <c r="C30" s="428" t="s">
        <v>2376</v>
      </c>
      <c r="D30" s="430"/>
      <c r="E30" s="512">
        <v>0</v>
      </c>
      <c r="F30" s="513">
        <v>0</v>
      </c>
      <c r="G30" s="514">
        <v>0</v>
      </c>
      <c r="H30" s="514">
        <v>0</v>
      </c>
      <c r="I30" s="515">
        <v>0</v>
      </c>
      <c r="J30" s="450">
        <v>0</v>
      </c>
      <c r="K30" s="453">
        <v>0</v>
      </c>
      <c r="L30" s="451">
        <v>0</v>
      </c>
      <c r="M30" s="489">
        <v>0</v>
      </c>
      <c r="N30" s="452">
        <v>0</v>
      </c>
      <c r="O30" s="488">
        <f t="shared" si="6"/>
        <v>0</v>
      </c>
      <c r="P30" s="512">
        <f t="shared" si="7"/>
        <v>0</v>
      </c>
      <c r="Q30" s="514">
        <f>+COUNTIFS('2. Status Detalhe Campos FY24'!$C:$C,"*Bens Imóveis*",'2. Status Detalhe Campos FY24'!$J:$J,"*"&amp;$P$25&amp;"*",'2. Status Detalhe Campos FY24'!T:T,"*Novo Plano*")</f>
        <v>0</v>
      </c>
      <c r="R30" s="515">
        <f t="shared" si="8"/>
        <v>0</v>
      </c>
      <c r="S30" s="416"/>
      <c r="T30" s="348"/>
      <c r="U30" s="416"/>
      <c r="V30" s="416"/>
      <c r="W30" s="416"/>
      <c r="X30" s="521"/>
      <c r="Y30" s="522"/>
      <c r="Z30" s="522"/>
      <c r="AA30" s="522"/>
      <c r="AB30" s="522"/>
      <c r="AC30" s="522"/>
      <c r="AD30" s="522"/>
      <c r="AE30" s="522"/>
      <c r="AF30" s="523"/>
      <c r="AG30" s="349"/>
      <c r="AH30" s="116"/>
    </row>
    <row r="31" spans="1:34" ht="18.75" customHeight="1">
      <c r="A31" s="116"/>
      <c r="B31" s="337"/>
      <c r="C31" s="558" t="s">
        <v>29</v>
      </c>
      <c r="D31" s="559"/>
      <c r="E31" s="503">
        <v>0</v>
      </c>
      <c r="F31" s="504">
        <v>0</v>
      </c>
      <c r="G31" s="505">
        <v>0</v>
      </c>
      <c r="H31" s="505">
        <v>0</v>
      </c>
      <c r="I31" s="506">
        <v>0</v>
      </c>
      <c r="J31" s="440">
        <v>0</v>
      </c>
      <c r="K31" s="443">
        <v>0</v>
      </c>
      <c r="L31" s="441">
        <v>0</v>
      </c>
      <c r="M31" s="491">
        <v>0</v>
      </c>
      <c r="N31" s="442">
        <v>0</v>
      </c>
      <c r="O31" s="483">
        <f t="shared" si="6"/>
        <v>0</v>
      </c>
      <c r="P31" s="503">
        <f t="shared" si="7"/>
        <v>0</v>
      </c>
      <c r="Q31" s="505">
        <f>+COUNTIFS('2. Status Detalhe Campos FY24'!$C:$C,"*Verde*",'2. Status Detalhe Campos FY24'!$J:$J,"*"&amp;$P$25&amp;"*")</f>
        <v>20</v>
      </c>
      <c r="R31" s="507">
        <f t="shared" si="8"/>
        <v>20</v>
      </c>
      <c r="S31" s="416"/>
      <c r="T31" s="348"/>
      <c r="U31" s="416"/>
      <c r="V31" s="416"/>
      <c r="W31" s="416"/>
      <c r="X31" s="521"/>
      <c r="Y31" s="522"/>
      <c r="Z31" s="522"/>
      <c r="AA31" s="522"/>
      <c r="AB31" s="522"/>
      <c r="AC31" s="522"/>
      <c r="AD31" s="522"/>
      <c r="AE31" s="522"/>
      <c r="AF31" s="523"/>
      <c r="AG31" s="349"/>
      <c r="AH31" s="116"/>
    </row>
    <row r="32" spans="1:34" ht="18.75" customHeight="1">
      <c r="A32" s="116"/>
      <c r="B32" s="337"/>
      <c r="C32" s="424" t="s">
        <v>2377</v>
      </c>
      <c r="D32" s="429"/>
      <c r="E32" s="508">
        <v>0</v>
      </c>
      <c r="F32" s="509">
        <v>0</v>
      </c>
      <c r="G32" s="510">
        <v>0</v>
      </c>
      <c r="H32" s="510">
        <v>0</v>
      </c>
      <c r="I32" s="511">
        <v>0</v>
      </c>
      <c r="J32" s="445">
        <v>0</v>
      </c>
      <c r="K32" s="448">
        <v>0</v>
      </c>
      <c r="L32" s="446">
        <v>0</v>
      </c>
      <c r="M32" s="493">
        <v>0</v>
      </c>
      <c r="N32" s="447">
        <v>0</v>
      </c>
      <c r="O32" s="486">
        <f t="shared" si="6"/>
        <v>0</v>
      </c>
      <c r="P32" s="508">
        <f t="shared" si="7"/>
        <v>0</v>
      </c>
      <c r="Q32" s="510">
        <f>+COUNTIFS('2. Status Detalhe Campos FY24'!$C:$C,"*Verde*",'2. Status Detalhe Campos FY24'!$J:$J,"*"&amp;$P$25&amp;"*",'2. Status Detalhe Campos FY24'!T:T,"*anterior*")</f>
        <v>0</v>
      </c>
      <c r="R32" s="511">
        <f t="shared" si="8"/>
        <v>0</v>
      </c>
      <c r="S32" s="416"/>
      <c r="T32" s="348"/>
      <c r="U32" s="416"/>
      <c r="V32" s="416"/>
      <c r="W32" s="416"/>
      <c r="X32" s="521"/>
      <c r="Y32" s="522"/>
      <c r="Z32" s="522"/>
      <c r="AA32" s="522"/>
      <c r="AB32" s="522"/>
      <c r="AC32" s="522"/>
      <c r="AD32" s="522"/>
      <c r="AE32" s="522"/>
      <c r="AF32" s="523"/>
      <c r="AG32" s="349"/>
      <c r="AH32" s="116"/>
    </row>
    <row r="33" spans="1:34" ht="18.75" customHeight="1">
      <c r="A33" s="116"/>
      <c r="B33" s="337"/>
      <c r="C33" s="428" t="s">
        <v>2376</v>
      </c>
      <c r="D33" s="430"/>
      <c r="E33" s="512">
        <v>0</v>
      </c>
      <c r="F33" s="513">
        <v>0</v>
      </c>
      <c r="G33" s="514">
        <v>0</v>
      </c>
      <c r="H33" s="514">
        <v>0</v>
      </c>
      <c r="I33" s="515">
        <v>0</v>
      </c>
      <c r="J33" s="450">
        <v>0</v>
      </c>
      <c r="K33" s="453">
        <v>0</v>
      </c>
      <c r="L33" s="451">
        <v>0</v>
      </c>
      <c r="M33" s="495">
        <v>0</v>
      </c>
      <c r="N33" s="452">
        <v>0</v>
      </c>
      <c r="O33" s="488">
        <f t="shared" si="6"/>
        <v>0</v>
      </c>
      <c r="P33" s="512">
        <f t="shared" si="7"/>
        <v>0</v>
      </c>
      <c r="Q33" s="514">
        <f>+COUNTIFS('2. Status Detalhe Campos FY24'!$C:$C,"*Verde*",'2. Status Detalhe Campos FY24'!$J:$J,"*"&amp;$P$25&amp;"*",'2. Status Detalhe Campos FY24'!T:T,"*Novo Plano*")</f>
        <v>20</v>
      </c>
      <c r="R33" s="515">
        <f t="shared" si="8"/>
        <v>20</v>
      </c>
      <c r="S33" s="416"/>
      <c r="T33" s="348"/>
      <c r="U33" s="416"/>
      <c r="V33" s="416"/>
      <c r="W33" s="416"/>
      <c r="X33" s="521"/>
      <c r="Y33" s="522"/>
      <c r="Z33" s="522"/>
      <c r="AA33" s="522"/>
      <c r="AB33" s="522"/>
      <c r="AC33" s="522"/>
      <c r="AD33" s="522"/>
      <c r="AE33" s="522"/>
      <c r="AF33" s="523"/>
      <c r="AG33" s="349"/>
      <c r="AH33" s="116"/>
    </row>
    <row r="34" spans="1:34" ht="18.75" customHeight="1">
      <c r="A34" s="116"/>
      <c r="B34" s="337"/>
      <c r="C34" s="558" t="s">
        <v>2352</v>
      </c>
      <c r="D34" s="559"/>
      <c r="E34" s="503">
        <v>3</v>
      </c>
      <c r="F34" s="504">
        <v>0</v>
      </c>
      <c r="G34" s="505">
        <v>0</v>
      </c>
      <c r="H34" s="505">
        <v>3</v>
      </c>
      <c r="I34" s="506">
        <v>0</v>
      </c>
      <c r="J34" s="440">
        <v>0</v>
      </c>
      <c r="K34" s="443">
        <v>0</v>
      </c>
      <c r="L34" s="441">
        <v>0</v>
      </c>
      <c r="M34" s="491">
        <v>0</v>
      </c>
      <c r="N34" s="442">
        <v>0</v>
      </c>
      <c r="O34" s="483">
        <f t="shared" si="6"/>
        <v>0</v>
      </c>
      <c r="P34" s="503">
        <f t="shared" si="7"/>
        <v>0</v>
      </c>
      <c r="Q34" s="505">
        <f>+COUNTIFS('2. Status Detalhe Campos FY24'!$C:$C,"*Pilar*",'2. Status Detalhe Campos FY24'!$J:$J,"*"&amp;$P$25&amp;"*")</f>
        <v>0</v>
      </c>
      <c r="R34" s="507">
        <f t="shared" si="8"/>
        <v>0</v>
      </c>
      <c r="S34" s="416"/>
      <c r="T34" s="348"/>
      <c r="U34" s="416"/>
      <c r="V34" s="416"/>
      <c r="W34" s="416"/>
      <c r="X34" s="521"/>
      <c r="Y34" s="522"/>
      <c r="Z34" s="522"/>
      <c r="AA34" s="522"/>
      <c r="AB34" s="522"/>
      <c r="AC34" s="522"/>
      <c r="AD34" s="522"/>
      <c r="AE34" s="522"/>
      <c r="AF34" s="523"/>
      <c r="AG34" s="349"/>
      <c r="AH34" s="116"/>
    </row>
    <row r="35" spans="1:34" ht="18.75" customHeight="1">
      <c r="A35" s="116"/>
      <c r="B35" s="337"/>
      <c r="C35" s="424" t="s">
        <v>2377</v>
      </c>
      <c r="D35" s="431"/>
      <c r="E35" s="508">
        <v>3</v>
      </c>
      <c r="F35" s="509">
        <v>0</v>
      </c>
      <c r="G35" s="510">
        <v>0</v>
      </c>
      <c r="H35" s="510">
        <v>3</v>
      </c>
      <c r="I35" s="511">
        <v>0</v>
      </c>
      <c r="J35" s="445">
        <v>0</v>
      </c>
      <c r="K35" s="448">
        <v>0</v>
      </c>
      <c r="L35" s="446">
        <v>0</v>
      </c>
      <c r="M35" s="498">
        <v>0</v>
      </c>
      <c r="N35" s="447">
        <v>0</v>
      </c>
      <c r="O35" s="486">
        <f t="shared" si="6"/>
        <v>0</v>
      </c>
      <c r="P35" s="508">
        <f t="shared" si="7"/>
        <v>0</v>
      </c>
      <c r="Q35" s="510">
        <f>+COUNTIFS('2. Status Detalhe Campos FY24'!$C:$C,"*Pilar*",'2. Status Detalhe Campos FY24'!$J:$J,"*"&amp;$P$25&amp;"*",'2. Status Detalhe Campos FY24'!T:T,"*anterior*")</f>
        <v>0</v>
      </c>
      <c r="R35" s="511">
        <f t="shared" si="8"/>
        <v>0</v>
      </c>
      <c r="S35" s="416"/>
      <c r="T35" s="348"/>
      <c r="U35" s="416"/>
      <c r="V35" s="416"/>
      <c r="W35" s="416"/>
      <c r="X35" s="521"/>
      <c r="Y35" s="522"/>
      <c r="Z35" s="522"/>
      <c r="AA35" s="522"/>
      <c r="AB35" s="522"/>
      <c r="AC35" s="522"/>
      <c r="AD35" s="522"/>
      <c r="AE35" s="522"/>
      <c r="AF35" s="523"/>
      <c r="AG35" s="349"/>
      <c r="AH35" s="116"/>
    </row>
    <row r="36" spans="1:34" ht="18.75" customHeight="1">
      <c r="A36" s="116"/>
      <c r="B36" s="337"/>
      <c r="C36" s="428" t="s">
        <v>2376</v>
      </c>
      <c r="D36" s="430"/>
      <c r="E36" s="512">
        <v>0</v>
      </c>
      <c r="F36" s="513">
        <v>0</v>
      </c>
      <c r="G36" s="514">
        <v>0</v>
      </c>
      <c r="H36" s="514">
        <v>0</v>
      </c>
      <c r="I36" s="515">
        <v>0</v>
      </c>
      <c r="J36" s="450">
        <v>0</v>
      </c>
      <c r="K36" s="453">
        <v>0</v>
      </c>
      <c r="L36" s="451">
        <v>0</v>
      </c>
      <c r="M36" s="495">
        <v>0</v>
      </c>
      <c r="N36" s="452">
        <v>0</v>
      </c>
      <c r="O36" s="488">
        <f t="shared" si="6"/>
        <v>0</v>
      </c>
      <c r="P36" s="512">
        <f t="shared" si="7"/>
        <v>0</v>
      </c>
      <c r="Q36" s="514">
        <f>+COUNTIFS('2. Status Detalhe Campos FY24'!$C:$C,"*Pilar*",'2. Status Detalhe Campos FY24'!$J:$J,"*"&amp;$P$25&amp;"*",'2. Status Detalhe Campos FY24'!T:T,"*Novo Plano*")</f>
        <v>0</v>
      </c>
      <c r="R36" s="515">
        <f t="shared" si="8"/>
        <v>0</v>
      </c>
      <c r="S36" s="416"/>
      <c r="T36" s="348"/>
      <c r="U36" s="416"/>
      <c r="V36" s="416"/>
      <c r="W36" s="416"/>
      <c r="X36" s="521"/>
      <c r="Y36" s="522"/>
      <c r="Z36" s="522"/>
      <c r="AA36" s="522"/>
      <c r="AB36" s="522"/>
      <c r="AC36" s="522"/>
      <c r="AD36" s="522"/>
      <c r="AE36" s="522"/>
      <c r="AF36" s="523"/>
      <c r="AG36" s="349"/>
      <c r="AH36" s="116"/>
    </row>
    <row r="37" spans="1:34" ht="18.75" customHeight="1">
      <c r="A37" s="116"/>
      <c r="B37" s="337"/>
      <c r="C37" s="560" t="s">
        <v>2346</v>
      </c>
      <c r="D37" s="561"/>
      <c r="E37" s="455">
        <v>4</v>
      </c>
      <c r="F37" s="456">
        <v>1</v>
      </c>
      <c r="G37" s="457">
        <v>0</v>
      </c>
      <c r="H37" s="458">
        <v>3</v>
      </c>
      <c r="I37" s="458">
        <v>0</v>
      </c>
      <c r="J37" s="455">
        <v>1</v>
      </c>
      <c r="K37" s="456">
        <v>0</v>
      </c>
      <c r="L37" s="516">
        <f t="shared" ref="I37:R37" si="9">+SUM(L28,L31,L34)</f>
        <v>0</v>
      </c>
      <c r="M37" s="502">
        <f t="shared" si="9"/>
        <v>1</v>
      </c>
      <c r="N37" s="517">
        <f t="shared" si="9"/>
        <v>0</v>
      </c>
      <c r="O37" s="458">
        <f t="shared" si="9"/>
        <v>0</v>
      </c>
      <c r="P37" s="455">
        <f t="shared" si="9"/>
        <v>0</v>
      </c>
      <c r="Q37" s="457">
        <f t="shared" si="9"/>
        <v>20</v>
      </c>
      <c r="R37" s="459">
        <f t="shared" si="9"/>
        <v>20</v>
      </c>
      <c r="S37" s="416"/>
      <c r="T37" s="348"/>
      <c r="U37" s="416"/>
      <c r="V37" s="416"/>
      <c r="W37" s="416"/>
      <c r="X37" s="521"/>
      <c r="Y37" s="522"/>
      <c r="Z37" s="522"/>
      <c r="AA37" s="522"/>
      <c r="AB37" s="522"/>
      <c r="AC37" s="522"/>
      <c r="AD37" s="522"/>
      <c r="AE37" s="522"/>
      <c r="AF37" s="523"/>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6"/>
      <c r="T38" s="348"/>
      <c r="U38" s="416"/>
      <c r="V38" s="416"/>
      <c r="W38" s="416"/>
      <c r="X38" s="521"/>
      <c r="Y38" s="522"/>
      <c r="Z38" s="522"/>
      <c r="AA38" s="522"/>
      <c r="AB38" s="522"/>
      <c r="AC38" s="522"/>
      <c r="AD38" s="522"/>
      <c r="AE38" s="522"/>
      <c r="AF38" s="523"/>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6"/>
      <c r="T39" s="348"/>
      <c r="U39" s="416"/>
      <c r="V39" s="416"/>
      <c r="W39" s="416"/>
      <c r="X39" s="521"/>
      <c r="Y39" s="522"/>
      <c r="Z39" s="522"/>
      <c r="AA39" s="522"/>
      <c r="AB39" s="522"/>
      <c r="AC39" s="522"/>
      <c r="AD39" s="522"/>
      <c r="AE39" s="522"/>
      <c r="AF39" s="523"/>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6"/>
      <c r="T40" s="348"/>
      <c r="U40" s="416"/>
      <c r="V40" s="416"/>
      <c r="W40" s="416"/>
      <c r="X40" s="524"/>
      <c r="Y40" s="525"/>
      <c r="Z40" s="525"/>
      <c r="AA40" s="525"/>
      <c r="AB40" s="525"/>
      <c r="AC40" s="525"/>
      <c r="AD40" s="525"/>
      <c r="AE40" s="525"/>
      <c r="AF40" s="526"/>
      <c r="AG40" s="349"/>
      <c r="AH40" s="116"/>
    </row>
    <row r="41" spans="1:34">
      <c r="A41" s="116"/>
      <c r="B41" s="418">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19">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2.2">
      <c r="A43" s="116"/>
      <c r="B43" s="126" t="s">
        <v>2347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0999999999999996"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45688</v>
      </c>
      <c r="U46" s="131">
        <f>T46+7</f>
        <v>45695</v>
      </c>
      <c r="V46" s="132" t="s">
        <v>609</v>
      </c>
      <c r="X46" s="155" t="s">
        <v>610</v>
      </c>
      <c r="AG46" s="122"/>
      <c r="AH46" s="116"/>
    </row>
    <row r="47" spans="1:34" ht="17.850000000000001" customHeight="1">
      <c r="A47" s="116"/>
      <c r="B47" s="121"/>
      <c r="P47" s="405" t="s">
        <v>611</v>
      </c>
      <c r="Q47" s="405"/>
      <c r="R47" s="405"/>
      <c r="S47" s="405"/>
      <c r="T47" s="405">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5">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5">
        <f t="shared" ref="V47:V73" si="10">U47-T47</f>
        <v>0</v>
      </c>
      <c r="X47" s="534" t="s">
        <v>2423</v>
      </c>
      <c r="Y47" s="535"/>
      <c r="Z47" s="535"/>
      <c r="AA47" s="535"/>
      <c r="AB47" s="535"/>
      <c r="AC47" s="535"/>
      <c r="AD47" s="535"/>
      <c r="AE47" s="535"/>
      <c r="AF47" s="536"/>
      <c r="AG47" s="163"/>
      <c r="AH47" s="116"/>
    </row>
    <row r="48" spans="1:34" ht="17.850000000000001" customHeight="1">
      <c r="A48" s="116"/>
      <c r="B48" s="121"/>
      <c r="P48" s="406" t="s">
        <v>2377</v>
      </c>
      <c r="Q48" s="407"/>
      <c r="R48" s="407"/>
      <c r="S48" s="407"/>
      <c r="T48" s="581">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581">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581">
        <f t="shared" si="10"/>
        <v>0</v>
      </c>
      <c r="X48" s="537"/>
      <c r="Y48" s="538"/>
      <c r="Z48" s="538"/>
      <c r="AA48" s="538"/>
      <c r="AB48" s="538"/>
      <c r="AC48" s="538"/>
      <c r="AD48" s="538"/>
      <c r="AE48" s="538"/>
      <c r="AF48" s="539"/>
      <c r="AG48" s="163"/>
      <c r="AH48" s="116"/>
    </row>
    <row r="49" spans="1:34" ht="17.850000000000001" customHeight="1">
      <c r="A49" s="116"/>
      <c r="B49" s="121"/>
      <c r="P49" s="406" t="s">
        <v>2376</v>
      </c>
      <c r="Q49" s="407"/>
      <c r="R49" s="407"/>
      <c r="S49" s="407"/>
      <c r="T49" s="581">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581">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581">
        <f t="shared" si="10"/>
        <v>0</v>
      </c>
      <c r="X49" s="537"/>
      <c r="Y49" s="538"/>
      <c r="Z49" s="538"/>
      <c r="AA49" s="538"/>
      <c r="AB49" s="538"/>
      <c r="AC49" s="538"/>
      <c r="AD49" s="538"/>
      <c r="AE49" s="538"/>
      <c r="AF49" s="539"/>
      <c r="AG49" s="163"/>
      <c r="AH49" s="116"/>
    </row>
    <row r="50" spans="1:34">
      <c r="A50" s="116"/>
      <c r="B50" s="121"/>
      <c r="P50" s="404" t="s">
        <v>612</v>
      </c>
      <c r="Q50" s="404"/>
      <c r="R50" s="404"/>
      <c r="S50" s="404"/>
      <c r="T50" s="404">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143</v>
      </c>
      <c r="U50" s="404">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4">
        <f t="shared" si="10"/>
        <v>1</v>
      </c>
      <c r="X50" s="537"/>
      <c r="Y50" s="540"/>
      <c r="Z50" s="540"/>
      <c r="AA50" s="540"/>
      <c r="AB50" s="540"/>
      <c r="AC50" s="540"/>
      <c r="AD50" s="540"/>
      <c r="AE50" s="540"/>
      <c r="AF50" s="539"/>
      <c r="AG50" s="163"/>
      <c r="AH50" s="116"/>
    </row>
    <row r="51" spans="1:34">
      <c r="A51" s="116"/>
      <c r="B51" s="121"/>
      <c r="P51" s="406" t="s">
        <v>2377</v>
      </c>
      <c r="Q51" s="409"/>
      <c r="R51" s="409"/>
      <c r="S51" s="409"/>
      <c r="T51" s="576">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143</v>
      </c>
      <c r="U51" s="576">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576">
        <f t="shared" si="10"/>
        <v>1</v>
      </c>
      <c r="X51" s="537"/>
      <c r="Y51" s="540"/>
      <c r="Z51" s="540"/>
      <c r="AA51" s="540"/>
      <c r="AB51" s="540"/>
      <c r="AC51" s="540"/>
      <c r="AD51" s="540"/>
      <c r="AE51" s="540"/>
      <c r="AF51" s="539"/>
      <c r="AG51" s="163"/>
      <c r="AH51" s="116"/>
    </row>
    <row r="52" spans="1:34">
      <c r="A52" s="116"/>
      <c r="B52" s="121"/>
      <c r="P52" s="406" t="s">
        <v>2376</v>
      </c>
      <c r="Q52" s="411"/>
      <c r="R52" s="411"/>
      <c r="S52" s="411"/>
      <c r="T52" s="577">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577">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577">
        <f t="shared" si="10"/>
        <v>0</v>
      </c>
      <c r="X52" s="537"/>
      <c r="Y52" s="540"/>
      <c r="Z52" s="540"/>
      <c r="AA52" s="540"/>
      <c r="AB52" s="540"/>
      <c r="AC52" s="540"/>
      <c r="AD52" s="540"/>
      <c r="AE52" s="540"/>
      <c r="AF52" s="539"/>
      <c r="AG52" s="163"/>
      <c r="AH52" s="116"/>
    </row>
    <row r="53" spans="1:34">
      <c r="A53" s="116"/>
      <c r="B53" s="121"/>
      <c r="P53" s="404" t="s">
        <v>1847</v>
      </c>
      <c r="Q53" s="404"/>
      <c r="R53" s="404"/>
      <c r="S53" s="404"/>
      <c r="T53" s="404">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4">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4">
        <f t="shared" si="10"/>
        <v>0</v>
      </c>
      <c r="X53" s="537"/>
      <c r="Y53" s="540"/>
      <c r="Z53" s="540"/>
      <c r="AA53" s="540"/>
      <c r="AB53" s="540"/>
      <c r="AC53" s="540"/>
      <c r="AD53" s="540"/>
      <c r="AE53" s="540"/>
      <c r="AF53" s="539"/>
      <c r="AG53" s="163"/>
      <c r="AH53" s="116"/>
    </row>
    <row r="54" spans="1:34">
      <c r="A54" s="116"/>
      <c r="B54" s="121"/>
      <c r="P54" s="406" t="s">
        <v>2377</v>
      </c>
      <c r="Q54" s="409"/>
      <c r="R54" s="409"/>
      <c r="S54" s="409"/>
      <c r="T54" s="576">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576">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576">
        <f t="shared" si="10"/>
        <v>0</v>
      </c>
      <c r="X54" s="537"/>
      <c r="Y54" s="540"/>
      <c r="Z54" s="540"/>
      <c r="AA54" s="540"/>
      <c r="AB54" s="540"/>
      <c r="AC54" s="540"/>
      <c r="AD54" s="540"/>
      <c r="AE54" s="540"/>
      <c r="AF54" s="539"/>
      <c r="AG54" s="163"/>
      <c r="AH54" s="116"/>
    </row>
    <row r="55" spans="1:34">
      <c r="A55" s="116"/>
      <c r="B55" s="121"/>
      <c r="P55" s="406" t="s">
        <v>2376</v>
      </c>
      <c r="Q55" s="411"/>
      <c r="R55" s="411"/>
      <c r="S55" s="411"/>
      <c r="T55" s="577">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577">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577">
        <f t="shared" si="10"/>
        <v>0</v>
      </c>
      <c r="X55" s="537"/>
      <c r="Y55" s="540"/>
      <c r="Z55" s="540"/>
      <c r="AA55" s="540"/>
      <c r="AB55" s="540"/>
      <c r="AC55" s="540"/>
      <c r="AD55" s="540"/>
      <c r="AE55" s="540"/>
      <c r="AF55" s="539"/>
      <c r="AG55" s="163"/>
      <c r="AH55" s="116"/>
    </row>
    <row r="56" spans="1:34">
      <c r="A56" s="116"/>
      <c r="B56" s="121"/>
      <c r="D56" s="544" t="str">
        <f>"# "&amp;U74</f>
        <v># 204</v>
      </c>
      <c r="E56" s="544"/>
      <c r="P56" s="404" t="s">
        <v>2339</v>
      </c>
      <c r="Q56" s="404"/>
      <c r="R56" s="404"/>
      <c r="S56" s="404"/>
      <c r="T56" s="404">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4">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4">
        <f t="shared" si="10"/>
        <v>0</v>
      </c>
      <c r="X56" s="537"/>
      <c r="Y56" s="540"/>
      <c r="Z56" s="540"/>
      <c r="AA56" s="540"/>
      <c r="AB56" s="540"/>
      <c r="AC56" s="540"/>
      <c r="AD56" s="540"/>
      <c r="AE56" s="540"/>
      <c r="AF56" s="539"/>
      <c r="AG56" s="163"/>
      <c r="AH56" s="116"/>
    </row>
    <row r="57" spans="1:34">
      <c r="A57" s="116"/>
      <c r="B57" s="121"/>
      <c r="D57" s="544"/>
      <c r="E57" s="544"/>
      <c r="P57" s="406" t="s">
        <v>2377</v>
      </c>
      <c r="Q57" s="409"/>
      <c r="R57" s="409"/>
      <c r="S57" s="409"/>
      <c r="T57" s="576">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576">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576">
        <f t="shared" si="10"/>
        <v>0</v>
      </c>
      <c r="X57" s="537"/>
      <c r="Y57" s="540"/>
      <c r="Z57" s="540"/>
      <c r="AA57" s="540"/>
      <c r="AB57" s="540"/>
      <c r="AC57" s="540"/>
      <c r="AD57" s="540"/>
      <c r="AE57" s="540"/>
      <c r="AF57" s="539"/>
      <c r="AG57" s="163"/>
      <c r="AH57" s="116"/>
    </row>
    <row r="58" spans="1:34">
      <c r="A58" s="116"/>
      <c r="B58" s="121"/>
      <c r="D58" s="544"/>
      <c r="E58" s="544"/>
      <c r="P58" s="406" t="s">
        <v>2376</v>
      </c>
      <c r="Q58" s="411"/>
      <c r="R58" s="411"/>
      <c r="S58" s="411"/>
      <c r="T58" s="577">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577">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577">
        <f t="shared" si="10"/>
        <v>0</v>
      </c>
      <c r="X58" s="537"/>
      <c r="Y58" s="540"/>
      <c r="Z58" s="540"/>
      <c r="AA58" s="540"/>
      <c r="AB58" s="540"/>
      <c r="AC58" s="540"/>
      <c r="AD58" s="540"/>
      <c r="AE58" s="540"/>
      <c r="AF58" s="539"/>
      <c r="AG58" s="163"/>
      <c r="AH58" s="116"/>
    </row>
    <row r="59" spans="1:34" ht="17.850000000000001" customHeight="1">
      <c r="A59" s="116"/>
      <c r="B59" s="121"/>
      <c r="D59" s="544"/>
      <c r="E59" s="544"/>
      <c r="P59" s="404" t="s">
        <v>613</v>
      </c>
      <c r="Q59" s="404"/>
      <c r="R59" s="404"/>
      <c r="S59" s="404"/>
      <c r="T59" s="404">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4">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4">
        <f t="shared" si="10"/>
        <v>0</v>
      </c>
      <c r="X59" s="537"/>
      <c r="Y59" s="540"/>
      <c r="Z59" s="540"/>
      <c r="AA59" s="540"/>
      <c r="AB59" s="540"/>
      <c r="AC59" s="540"/>
      <c r="AD59" s="540"/>
      <c r="AE59" s="540"/>
      <c r="AF59" s="539"/>
      <c r="AG59" s="163"/>
      <c r="AH59" s="116"/>
    </row>
    <row r="60" spans="1:34" ht="17.850000000000001" customHeight="1">
      <c r="A60" s="116"/>
      <c r="B60" s="121"/>
      <c r="D60" s="544"/>
      <c r="E60" s="544"/>
      <c r="P60" s="406" t="s">
        <v>2377</v>
      </c>
      <c r="Q60" s="409"/>
      <c r="R60" s="409"/>
      <c r="S60" s="409"/>
      <c r="T60" s="576">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576">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576">
        <f t="shared" si="10"/>
        <v>0</v>
      </c>
      <c r="X60" s="537"/>
      <c r="Y60" s="540"/>
      <c r="Z60" s="540"/>
      <c r="AA60" s="540"/>
      <c r="AB60" s="540"/>
      <c r="AC60" s="540"/>
      <c r="AD60" s="540"/>
      <c r="AE60" s="540"/>
      <c r="AF60" s="539"/>
      <c r="AG60" s="163"/>
      <c r="AH60" s="116"/>
    </row>
    <row r="61" spans="1:34" ht="17.850000000000001" customHeight="1">
      <c r="A61" s="116"/>
      <c r="B61" s="121"/>
      <c r="D61" s="544"/>
      <c r="E61" s="544"/>
      <c r="P61" s="406" t="s">
        <v>2376</v>
      </c>
      <c r="Q61" s="411"/>
      <c r="R61" s="411"/>
      <c r="S61" s="411"/>
      <c r="T61" s="577">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577">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577">
        <f t="shared" si="10"/>
        <v>0</v>
      </c>
      <c r="X61" s="537"/>
      <c r="Y61" s="540"/>
      <c r="Z61" s="540"/>
      <c r="AA61" s="540"/>
      <c r="AB61" s="540"/>
      <c r="AC61" s="540"/>
      <c r="AD61" s="540"/>
      <c r="AE61" s="540"/>
      <c r="AF61" s="539"/>
      <c r="AG61" s="163"/>
      <c r="AH61" s="116"/>
    </row>
    <row r="62" spans="1:34" ht="17.850000000000001" customHeight="1">
      <c r="A62" s="116"/>
      <c r="B62" s="121"/>
      <c r="D62" s="544"/>
      <c r="E62" s="544"/>
      <c r="P62" s="404" t="s">
        <v>614</v>
      </c>
      <c r="Q62" s="404"/>
      <c r="R62" s="404"/>
      <c r="S62" s="404"/>
      <c r="T62" s="404">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4">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4">
        <f t="shared" si="10"/>
        <v>0</v>
      </c>
      <c r="X62" s="537"/>
      <c r="Y62" s="540"/>
      <c r="Z62" s="540"/>
      <c r="AA62" s="540"/>
      <c r="AB62" s="540"/>
      <c r="AC62" s="540"/>
      <c r="AD62" s="540"/>
      <c r="AE62" s="540"/>
      <c r="AF62" s="539"/>
      <c r="AG62" s="163"/>
      <c r="AH62" s="116"/>
    </row>
    <row r="63" spans="1:34" ht="17.850000000000001" customHeight="1">
      <c r="A63" s="116"/>
      <c r="B63" s="121"/>
      <c r="D63" s="402"/>
      <c r="E63" s="402"/>
      <c r="P63" s="406" t="s">
        <v>2377</v>
      </c>
      <c r="Q63" s="409"/>
      <c r="R63" s="409"/>
      <c r="S63" s="409"/>
      <c r="T63" s="576">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576">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576">
        <f t="shared" si="10"/>
        <v>0</v>
      </c>
      <c r="X63" s="537"/>
      <c r="Y63" s="540"/>
      <c r="Z63" s="540"/>
      <c r="AA63" s="540"/>
      <c r="AB63" s="540"/>
      <c r="AC63" s="540"/>
      <c r="AD63" s="540"/>
      <c r="AE63" s="540"/>
      <c r="AF63" s="539"/>
      <c r="AG63" s="163"/>
      <c r="AH63" s="116"/>
    </row>
    <row r="64" spans="1:34" ht="17.850000000000001" customHeight="1">
      <c r="A64" s="116"/>
      <c r="B64" s="121"/>
      <c r="D64" s="402"/>
      <c r="E64" s="402"/>
      <c r="P64" s="406" t="s">
        <v>2376</v>
      </c>
      <c r="Q64" s="411"/>
      <c r="R64" s="411"/>
      <c r="S64" s="411"/>
      <c r="T64" s="577">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577">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577">
        <f t="shared" si="10"/>
        <v>0</v>
      </c>
      <c r="X64" s="537"/>
      <c r="Y64" s="540"/>
      <c r="Z64" s="540"/>
      <c r="AA64" s="540"/>
      <c r="AB64" s="540"/>
      <c r="AC64" s="540"/>
      <c r="AD64" s="540"/>
      <c r="AE64" s="540"/>
      <c r="AF64" s="539"/>
      <c r="AG64" s="163"/>
      <c r="AH64" s="116"/>
    </row>
    <row r="65" spans="1:34">
      <c r="A65" s="116"/>
      <c r="B65" s="121"/>
      <c r="P65" s="404" t="s">
        <v>615</v>
      </c>
      <c r="Q65" s="404"/>
      <c r="R65" s="404" t="s">
        <v>616</v>
      </c>
      <c r="S65" s="404"/>
      <c r="T65" s="404">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1</v>
      </c>
      <c r="U65" s="404">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4">
        <f t="shared" si="10"/>
        <v>-1</v>
      </c>
      <c r="X65" s="537"/>
      <c r="Y65" s="540"/>
      <c r="Z65" s="540"/>
      <c r="AA65" s="540"/>
      <c r="AB65" s="540"/>
      <c r="AC65" s="540"/>
      <c r="AD65" s="540"/>
      <c r="AE65" s="540"/>
      <c r="AF65" s="539"/>
      <c r="AG65" s="163"/>
      <c r="AH65" s="116"/>
    </row>
    <row r="66" spans="1:34">
      <c r="A66" s="116"/>
      <c r="B66" s="121"/>
      <c r="P66" s="406" t="s">
        <v>2377</v>
      </c>
      <c r="Q66" s="409"/>
      <c r="R66" s="409"/>
      <c r="S66" s="409"/>
      <c r="T66" s="576">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1</v>
      </c>
      <c r="U66" s="576">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576">
        <f t="shared" si="10"/>
        <v>-1</v>
      </c>
      <c r="X66" s="537"/>
      <c r="Y66" s="540"/>
      <c r="Z66" s="540"/>
      <c r="AA66" s="540"/>
      <c r="AB66" s="540"/>
      <c r="AC66" s="540"/>
      <c r="AD66" s="540"/>
      <c r="AE66" s="540"/>
      <c r="AF66" s="539"/>
      <c r="AG66" s="163"/>
      <c r="AH66" s="116"/>
    </row>
    <row r="67" spans="1:34">
      <c r="A67" s="116"/>
      <c r="B67" s="121"/>
      <c r="P67" s="406" t="s">
        <v>2376</v>
      </c>
      <c r="Q67" s="411"/>
      <c r="R67" s="411"/>
      <c r="S67" s="411"/>
      <c r="T67" s="577">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577">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577">
        <f t="shared" si="10"/>
        <v>0</v>
      </c>
      <c r="X67" s="537"/>
      <c r="Y67" s="540"/>
      <c r="Z67" s="540"/>
      <c r="AA67" s="540"/>
      <c r="AB67" s="540"/>
      <c r="AC67" s="540"/>
      <c r="AD67" s="540"/>
      <c r="AE67" s="540"/>
      <c r="AF67" s="539"/>
      <c r="AG67" s="163"/>
      <c r="AH67" s="116"/>
    </row>
    <row r="68" spans="1:34">
      <c r="A68" s="116"/>
      <c r="B68" s="121"/>
      <c r="P68" s="404" t="s">
        <v>2340</v>
      </c>
      <c r="Q68" s="404"/>
      <c r="R68" s="404"/>
      <c r="S68" s="404"/>
      <c r="T68" s="404">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4">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4">
        <f t="shared" si="10"/>
        <v>0</v>
      </c>
      <c r="X68" s="537"/>
      <c r="Y68" s="540"/>
      <c r="Z68" s="540"/>
      <c r="AA68" s="540"/>
      <c r="AB68" s="540"/>
      <c r="AC68" s="540"/>
      <c r="AD68" s="540"/>
      <c r="AE68" s="540"/>
      <c r="AF68" s="539"/>
      <c r="AG68" s="163"/>
      <c r="AH68" s="116"/>
    </row>
    <row r="69" spans="1:34">
      <c r="A69" s="116"/>
      <c r="B69" s="121"/>
      <c r="P69" s="406" t="s">
        <v>2377</v>
      </c>
      <c r="Q69" s="409"/>
      <c r="R69" s="409"/>
      <c r="S69" s="409"/>
      <c r="T69" s="576">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576">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576">
        <f t="shared" si="10"/>
        <v>0</v>
      </c>
      <c r="X69" s="537"/>
      <c r="Y69" s="540"/>
      <c r="Z69" s="540"/>
      <c r="AA69" s="540"/>
      <c r="AB69" s="540"/>
      <c r="AC69" s="540"/>
      <c r="AD69" s="540"/>
      <c r="AE69" s="540"/>
      <c r="AF69" s="539"/>
      <c r="AG69" s="163"/>
      <c r="AH69" s="116"/>
    </row>
    <row r="70" spans="1:34">
      <c r="A70" s="116"/>
      <c r="B70" s="121"/>
      <c r="P70" s="406" t="s">
        <v>2376</v>
      </c>
      <c r="Q70" s="411"/>
      <c r="R70" s="411"/>
      <c r="S70" s="411"/>
      <c r="T70" s="577">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577">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577">
        <f t="shared" si="10"/>
        <v>0</v>
      </c>
      <c r="X70" s="537"/>
      <c r="Y70" s="540"/>
      <c r="Z70" s="540"/>
      <c r="AA70" s="540"/>
      <c r="AB70" s="540"/>
      <c r="AC70" s="540"/>
      <c r="AD70" s="540"/>
      <c r="AE70" s="540"/>
      <c r="AF70" s="539"/>
      <c r="AG70" s="163"/>
      <c r="AH70" s="116"/>
    </row>
    <row r="71" spans="1:34">
      <c r="A71" s="116"/>
      <c r="B71" s="121"/>
      <c r="P71" s="404" t="s">
        <v>28</v>
      </c>
      <c r="Q71" s="404"/>
      <c r="R71" s="404"/>
      <c r="S71" s="404"/>
      <c r="T71" s="404">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4">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4">
        <f t="shared" si="10"/>
        <v>0</v>
      </c>
      <c r="X71" s="537"/>
      <c r="Y71" s="540"/>
      <c r="Z71" s="540"/>
      <c r="AA71" s="540"/>
      <c r="AB71" s="540"/>
      <c r="AC71" s="540"/>
      <c r="AD71" s="540"/>
      <c r="AE71" s="540"/>
      <c r="AF71" s="539"/>
      <c r="AG71" s="163"/>
      <c r="AH71" s="116"/>
    </row>
    <row r="72" spans="1:34">
      <c r="A72" s="116"/>
      <c r="B72" s="121"/>
      <c r="P72" s="406" t="s">
        <v>2377</v>
      </c>
      <c r="Q72" s="409"/>
      <c r="R72" s="409"/>
      <c r="S72" s="409"/>
      <c r="T72" s="576">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576">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576">
        <f t="shared" si="10"/>
        <v>0</v>
      </c>
      <c r="X72" s="537"/>
      <c r="Y72" s="540"/>
      <c r="Z72" s="540"/>
      <c r="AA72" s="540"/>
      <c r="AB72" s="540"/>
      <c r="AC72" s="540"/>
      <c r="AD72" s="540"/>
      <c r="AE72" s="540"/>
      <c r="AF72" s="539"/>
      <c r="AG72" s="163"/>
      <c r="AH72" s="116"/>
    </row>
    <row r="73" spans="1:34">
      <c r="A73" s="116"/>
      <c r="B73" s="121"/>
      <c r="P73" s="412" t="s">
        <v>2376</v>
      </c>
      <c r="Q73" s="413"/>
      <c r="R73" s="413"/>
      <c r="S73" s="413"/>
      <c r="T73" s="578">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578">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578">
        <f t="shared" si="10"/>
        <v>0</v>
      </c>
      <c r="X73" s="537"/>
      <c r="Y73" s="540"/>
      <c r="Z73" s="540"/>
      <c r="AA73" s="540"/>
      <c r="AB73" s="540"/>
      <c r="AC73" s="540"/>
      <c r="AD73" s="540"/>
      <c r="AE73" s="540"/>
      <c r="AF73" s="539"/>
      <c r="AG73" s="163"/>
      <c r="AH73" s="116"/>
    </row>
    <row r="74" spans="1:34">
      <c r="A74" s="116"/>
      <c r="B74" s="121"/>
      <c r="P74" s="127" t="s">
        <v>2346</v>
      </c>
      <c r="T74" s="127">
        <f>+SUM(T47,T50,T53,T59,T62,T65,T68,T71,T56)</f>
        <v>204</v>
      </c>
      <c r="U74" s="127">
        <f>+SUM(U47,U50,U53,U59,U62,U65,U68,U71,U56)</f>
        <v>204</v>
      </c>
      <c r="V74" s="127">
        <f>+U74-T74</f>
        <v>0</v>
      </c>
      <c r="X74" s="537"/>
      <c r="Y74" s="540"/>
      <c r="Z74" s="540"/>
      <c r="AA74" s="540"/>
      <c r="AB74" s="540"/>
      <c r="AC74" s="540"/>
      <c r="AD74" s="540"/>
      <c r="AE74" s="540"/>
      <c r="AF74" s="539"/>
      <c r="AG74" s="163"/>
      <c r="AH74" s="116"/>
    </row>
    <row r="75" spans="1:34">
      <c r="A75" s="116"/>
      <c r="B75" s="121"/>
      <c r="P75" s="414" t="s">
        <v>2377</v>
      </c>
      <c r="T75" s="579">
        <f>+SUM(T48,T51,T54,T57,T60,T63,T66,T69,T72)</f>
        <v>204</v>
      </c>
      <c r="U75" s="579">
        <f>+SUM(U48,U51,U54,U57,U60,U63,U66,U69,U72)</f>
        <v>204</v>
      </c>
      <c r="V75" s="579">
        <f>+U75-T75</f>
        <v>0</v>
      </c>
      <c r="X75" s="537"/>
      <c r="Y75" s="540"/>
      <c r="Z75" s="540"/>
      <c r="AA75" s="540"/>
      <c r="AB75" s="540"/>
      <c r="AC75" s="540"/>
      <c r="AD75" s="540"/>
      <c r="AE75" s="540"/>
      <c r="AF75" s="539"/>
      <c r="AG75" s="163"/>
      <c r="AH75" s="116"/>
    </row>
    <row r="76" spans="1:34">
      <c r="A76" s="116"/>
      <c r="B76" s="121"/>
      <c r="P76" s="415" t="s">
        <v>2376</v>
      </c>
      <c r="Q76" s="130"/>
      <c r="R76" s="130"/>
      <c r="S76" s="130"/>
      <c r="T76" s="580">
        <f>+SUM(T49,T52,T55,T58,T61,T64,T67,T70,T73)</f>
        <v>0</v>
      </c>
      <c r="U76" s="580">
        <f>+SUM(U49,U52,U55,U58,U61,U64,U67,U70,U73)</f>
        <v>0</v>
      </c>
      <c r="V76" s="580">
        <f>+U76-T76</f>
        <v>0</v>
      </c>
      <c r="X76" s="537"/>
      <c r="Y76" s="540"/>
      <c r="Z76" s="540"/>
      <c r="AA76" s="540"/>
      <c r="AB76" s="540"/>
      <c r="AC76" s="540"/>
      <c r="AD76" s="540"/>
      <c r="AE76" s="540"/>
      <c r="AF76" s="539"/>
      <c r="AG76" s="163"/>
      <c r="AH76" s="116"/>
    </row>
    <row r="77" spans="1:34">
      <c r="A77" s="116"/>
      <c r="B77" s="121"/>
      <c r="T77" s="127"/>
      <c r="U77" s="127"/>
      <c r="X77" s="537"/>
      <c r="Y77" s="540"/>
      <c r="Z77" s="540"/>
      <c r="AA77" s="540"/>
      <c r="AB77" s="540"/>
      <c r="AC77" s="540"/>
      <c r="AD77" s="540"/>
      <c r="AE77" s="540"/>
      <c r="AF77" s="539"/>
      <c r="AG77" s="163"/>
      <c r="AH77" s="116"/>
    </row>
    <row r="78" spans="1:34">
      <c r="A78" s="116"/>
      <c r="B78" s="121"/>
      <c r="G78" s="129" t="s">
        <v>617</v>
      </c>
      <c r="H78" s="130"/>
      <c r="I78" s="130"/>
      <c r="J78" s="130"/>
      <c r="K78" s="130"/>
      <c r="L78" s="130"/>
      <c r="M78" s="130"/>
      <c r="P78" s="129" t="s">
        <v>618</v>
      </c>
      <c r="Q78" s="130"/>
      <c r="R78" s="130"/>
      <c r="S78" s="130"/>
      <c r="T78" s="130"/>
      <c r="U78" s="130"/>
      <c r="V78" s="130"/>
      <c r="X78" s="537"/>
      <c r="Y78" s="540"/>
      <c r="Z78" s="540"/>
      <c r="AA78" s="540"/>
      <c r="AB78" s="540"/>
      <c r="AC78" s="540"/>
      <c r="AD78" s="540"/>
      <c r="AE78" s="540"/>
      <c r="AF78" s="539"/>
      <c r="AG78" s="163"/>
      <c r="AH78" s="116"/>
    </row>
    <row r="79" spans="1:34">
      <c r="A79" s="116"/>
      <c r="B79" s="121"/>
      <c r="F79" s="159" t="s">
        <v>619</v>
      </c>
      <c r="G79" s="25" t="s">
        <v>620</v>
      </c>
      <c r="L79" s="161" t="s">
        <v>621</v>
      </c>
      <c r="O79" s="159" t="s">
        <v>619</v>
      </c>
      <c r="P79" s="25" t="s">
        <v>622</v>
      </c>
      <c r="T79" s="161" t="s">
        <v>621</v>
      </c>
      <c r="X79" s="537"/>
      <c r="Y79" s="540"/>
      <c r="Z79" s="540"/>
      <c r="AA79" s="540"/>
      <c r="AB79" s="540"/>
      <c r="AC79" s="540"/>
      <c r="AD79" s="540"/>
      <c r="AE79" s="540"/>
      <c r="AF79" s="539"/>
      <c r="AG79" s="163"/>
      <c r="AH79" s="116"/>
    </row>
    <row r="80" spans="1:34">
      <c r="A80" s="116"/>
      <c r="B80" s="121"/>
      <c r="F80" s="159" t="s">
        <v>619</v>
      </c>
      <c r="G80" s="25" t="s">
        <v>623</v>
      </c>
      <c r="L80" s="161" t="s">
        <v>621</v>
      </c>
      <c r="O80" s="159" t="s">
        <v>619</v>
      </c>
      <c r="P80" s="25" t="s">
        <v>624</v>
      </c>
      <c r="T80" s="161" t="s">
        <v>621</v>
      </c>
      <c r="X80" s="537"/>
      <c r="Y80" s="540"/>
      <c r="Z80" s="540"/>
      <c r="AA80" s="540"/>
      <c r="AB80" s="540"/>
      <c r="AC80" s="540"/>
      <c r="AD80" s="540"/>
      <c r="AE80" s="540"/>
      <c r="AF80" s="539"/>
      <c r="AG80" s="163"/>
      <c r="AH80" s="116"/>
    </row>
    <row r="81" spans="1:34">
      <c r="A81" s="116"/>
      <c r="B81" s="121"/>
      <c r="F81" s="159" t="s">
        <v>619</v>
      </c>
      <c r="G81" s="25" t="s">
        <v>625</v>
      </c>
      <c r="L81" s="161" t="s">
        <v>621</v>
      </c>
      <c r="O81" s="159" t="s">
        <v>619</v>
      </c>
      <c r="P81" s="25" t="s">
        <v>626</v>
      </c>
      <c r="T81" s="164" t="s">
        <v>627</v>
      </c>
      <c r="X81" s="537"/>
      <c r="Y81" s="540"/>
      <c r="Z81" s="540"/>
      <c r="AA81" s="540"/>
      <c r="AB81" s="540"/>
      <c r="AC81" s="540"/>
      <c r="AD81" s="540"/>
      <c r="AE81" s="540"/>
      <c r="AF81" s="539"/>
      <c r="AG81" s="163"/>
      <c r="AH81" s="116"/>
    </row>
    <row r="82" spans="1:34">
      <c r="A82" s="116"/>
      <c r="B82" s="121"/>
      <c r="F82" s="159" t="s">
        <v>619</v>
      </c>
      <c r="G82" s="25" t="s">
        <v>628</v>
      </c>
      <c r="L82" s="161" t="s">
        <v>621</v>
      </c>
      <c r="O82" s="159"/>
      <c r="T82" s="164"/>
      <c r="X82" s="537"/>
      <c r="Y82" s="540"/>
      <c r="Z82" s="540"/>
      <c r="AA82" s="540"/>
      <c r="AB82" s="540"/>
      <c r="AC82" s="540"/>
      <c r="AD82" s="540"/>
      <c r="AE82" s="540"/>
      <c r="AF82" s="539"/>
      <c r="AG82" s="163"/>
      <c r="AH82" s="116"/>
    </row>
    <row r="83" spans="1:34">
      <c r="A83" s="116"/>
      <c r="B83" s="121"/>
      <c r="F83" s="159" t="s">
        <v>619</v>
      </c>
      <c r="G83" s="25" t="s">
        <v>629</v>
      </c>
      <c r="L83" s="165" t="s">
        <v>2335</v>
      </c>
      <c r="O83" s="159"/>
      <c r="T83" s="164"/>
      <c r="X83" s="537"/>
      <c r="Y83" s="540"/>
      <c r="Z83" s="540"/>
      <c r="AA83" s="540"/>
      <c r="AB83" s="540"/>
      <c r="AC83" s="540"/>
      <c r="AD83" s="540"/>
      <c r="AE83" s="540"/>
      <c r="AF83" s="539"/>
      <c r="AG83" s="163"/>
      <c r="AH83" s="116"/>
    </row>
    <row r="84" spans="1:34">
      <c r="A84" s="116"/>
      <c r="B84" s="121"/>
      <c r="F84" s="159" t="s">
        <v>619</v>
      </c>
      <c r="G84" s="25" t="s">
        <v>630</v>
      </c>
      <c r="L84" s="165" t="s">
        <v>2335</v>
      </c>
      <c r="O84" s="159"/>
      <c r="T84" s="161"/>
      <c r="X84" s="537"/>
      <c r="Y84" s="540"/>
      <c r="Z84" s="540"/>
      <c r="AA84" s="540"/>
      <c r="AB84" s="540"/>
      <c r="AC84" s="540"/>
      <c r="AD84" s="540"/>
      <c r="AE84" s="540"/>
      <c r="AF84" s="539"/>
      <c r="AG84" s="163"/>
      <c r="AH84" s="116"/>
    </row>
    <row r="85" spans="1:34">
      <c r="A85" s="116"/>
      <c r="B85" s="121"/>
      <c r="O85" s="159"/>
      <c r="X85" s="541"/>
      <c r="Y85" s="542"/>
      <c r="Z85" s="542"/>
      <c r="AA85" s="542"/>
      <c r="AB85" s="542"/>
      <c r="AC85" s="542"/>
      <c r="AD85" s="542"/>
      <c r="AE85" s="542"/>
      <c r="AF85" s="543"/>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2.2">
      <c r="A88" s="116"/>
      <c r="B88" s="126" t="s">
        <v>2348</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0999999999999996"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45688</v>
      </c>
      <c r="U91" s="131">
        <f>U46</f>
        <v>45695</v>
      </c>
      <c r="V91" s="132" t="s">
        <v>609</v>
      </c>
      <c r="X91" s="155" t="s">
        <v>610</v>
      </c>
      <c r="AG91" s="122"/>
      <c r="AH91" s="116"/>
    </row>
    <row r="92" spans="1:34" ht="17.850000000000001" customHeight="1">
      <c r="A92" s="116"/>
      <c r="B92" s="121"/>
      <c r="P92" s="405" t="s">
        <v>611</v>
      </c>
      <c r="Q92" s="405"/>
      <c r="R92" s="405"/>
      <c r="S92" s="405"/>
      <c r="T92" s="405">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5">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16</v>
      </c>
      <c r="V92" s="405">
        <f t="shared" ref="V92:V118" si="11">U92-T92</f>
        <v>0</v>
      </c>
      <c r="W92" s="156"/>
      <c r="X92" s="547" t="s">
        <v>2427</v>
      </c>
      <c r="Y92" s="548"/>
      <c r="Z92" s="548"/>
      <c r="AA92" s="548"/>
      <c r="AB92" s="548"/>
      <c r="AC92" s="548"/>
      <c r="AD92" s="548"/>
      <c r="AE92" s="548"/>
      <c r="AF92" s="549"/>
      <c r="AG92" s="157" t="s">
        <v>631</v>
      </c>
      <c r="AH92" s="116"/>
    </row>
    <row r="93" spans="1:34" ht="17.850000000000001" customHeight="1">
      <c r="A93" s="116"/>
      <c r="B93" s="121"/>
      <c r="P93" s="406" t="s">
        <v>2386</v>
      </c>
      <c r="Q93" s="407"/>
      <c r="R93" s="407"/>
      <c r="S93" s="407"/>
      <c r="T93" s="581">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581">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16</v>
      </c>
      <c r="V93" s="581">
        <f t="shared" si="11"/>
        <v>0</v>
      </c>
      <c r="W93" s="156"/>
      <c r="X93" s="550"/>
      <c r="Y93" s="551"/>
      <c r="Z93" s="551"/>
      <c r="AA93" s="551"/>
      <c r="AB93" s="551"/>
      <c r="AC93" s="551"/>
      <c r="AD93" s="551"/>
      <c r="AE93" s="551"/>
      <c r="AF93" s="552"/>
      <c r="AG93" s="157"/>
      <c r="AH93" s="116"/>
    </row>
    <row r="94" spans="1:34" ht="17.25" customHeight="1">
      <c r="A94" s="116"/>
      <c r="B94" s="121"/>
      <c r="P94" s="406" t="s">
        <v>2376</v>
      </c>
      <c r="Q94" s="407"/>
      <c r="R94" s="407"/>
      <c r="S94" s="407"/>
      <c r="T94" s="581">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581">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581">
        <f t="shared" si="11"/>
        <v>0</v>
      </c>
      <c r="W94" s="156"/>
      <c r="X94" s="550"/>
      <c r="Y94" s="551"/>
      <c r="Z94" s="551"/>
      <c r="AA94" s="551"/>
      <c r="AB94" s="551"/>
      <c r="AC94" s="551"/>
      <c r="AD94" s="551"/>
      <c r="AE94" s="551"/>
      <c r="AF94" s="552"/>
      <c r="AG94" s="157"/>
      <c r="AH94" s="116"/>
    </row>
    <row r="95" spans="1:34">
      <c r="A95" s="116"/>
      <c r="B95" s="121"/>
      <c r="P95" s="404" t="s">
        <v>612</v>
      </c>
      <c r="Q95" s="404"/>
      <c r="R95" s="404"/>
      <c r="S95" s="404"/>
      <c r="T95" s="404">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4">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4">
        <f t="shared" si="11"/>
        <v>0</v>
      </c>
      <c r="W95" s="156"/>
      <c r="X95" s="550"/>
      <c r="Y95" s="551"/>
      <c r="Z95" s="551"/>
      <c r="AA95" s="551"/>
      <c r="AB95" s="551"/>
      <c r="AC95" s="551"/>
      <c r="AD95" s="551"/>
      <c r="AE95" s="551"/>
      <c r="AF95" s="552"/>
      <c r="AG95" s="157"/>
      <c r="AH95" s="116"/>
    </row>
    <row r="96" spans="1:34">
      <c r="A96" s="116"/>
      <c r="B96" s="121"/>
      <c r="P96" s="406" t="s">
        <v>2386</v>
      </c>
      <c r="Q96" s="409"/>
      <c r="R96" s="409"/>
      <c r="S96" s="409"/>
      <c r="T96" s="576">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576">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576">
        <f t="shared" si="11"/>
        <v>0</v>
      </c>
      <c r="W96" s="156"/>
      <c r="X96" s="550"/>
      <c r="Y96" s="551"/>
      <c r="Z96" s="551"/>
      <c r="AA96" s="551"/>
      <c r="AB96" s="551"/>
      <c r="AC96" s="551"/>
      <c r="AD96" s="551"/>
      <c r="AE96" s="551"/>
      <c r="AF96" s="552"/>
      <c r="AG96" s="157"/>
      <c r="AH96" s="116"/>
    </row>
    <row r="97" spans="1:34">
      <c r="A97" s="116"/>
      <c r="B97" s="121"/>
      <c r="P97" s="406" t="s">
        <v>2376</v>
      </c>
      <c r="Q97" s="411"/>
      <c r="R97" s="411"/>
      <c r="S97" s="411"/>
      <c r="T97" s="577">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577">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577">
        <f t="shared" si="11"/>
        <v>0</v>
      </c>
      <c r="W97" s="156"/>
      <c r="X97" s="550"/>
      <c r="Y97" s="551"/>
      <c r="Z97" s="551"/>
      <c r="AA97" s="551"/>
      <c r="AB97" s="551"/>
      <c r="AC97" s="551"/>
      <c r="AD97" s="551"/>
      <c r="AE97" s="551"/>
      <c r="AF97" s="552"/>
      <c r="AG97" s="157"/>
      <c r="AH97" s="116"/>
    </row>
    <row r="98" spans="1:34">
      <c r="A98" s="116"/>
      <c r="B98" s="121"/>
      <c r="P98" s="404" t="s">
        <v>1847</v>
      </c>
      <c r="Q98" s="404"/>
      <c r="R98" s="404"/>
      <c r="S98" s="404"/>
      <c r="T98" s="404">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0</v>
      </c>
      <c r="U98" s="404">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26</v>
      </c>
      <c r="V98" s="404">
        <f t="shared" si="11"/>
        <v>26</v>
      </c>
      <c r="W98" s="156"/>
      <c r="X98" s="550"/>
      <c r="Y98" s="551"/>
      <c r="Z98" s="551"/>
      <c r="AA98" s="551"/>
      <c r="AB98" s="551"/>
      <c r="AC98" s="551"/>
      <c r="AD98" s="551"/>
      <c r="AE98" s="551"/>
      <c r="AF98" s="552"/>
      <c r="AG98" s="157"/>
      <c r="AH98" s="116"/>
    </row>
    <row r="99" spans="1:34">
      <c r="A99" s="116"/>
      <c r="B99" s="121"/>
      <c r="P99" s="406" t="s">
        <v>2386</v>
      </c>
      <c r="Q99" s="409"/>
      <c r="R99" s="409"/>
      <c r="S99" s="409"/>
      <c r="T99" s="576">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0</v>
      </c>
      <c r="U99" s="576">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576">
        <f t="shared" si="11"/>
        <v>6</v>
      </c>
      <c r="W99" s="156"/>
      <c r="X99" s="550"/>
      <c r="Y99" s="551"/>
      <c r="Z99" s="551"/>
      <c r="AA99" s="551"/>
      <c r="AB99" s="551"/>
      <c r="AC99" s="551"/>
      <c r="AD99" s="551"/>
      <c r="AE99" s="551"/>
      <c r="AF99" s="552"/>
      <c r="AG99" s="157"/>
      <c r="AH99" s="116"/>
    </row>
    <row r="100" spans="1:34">
      <c r="A100" s="116"/>
      <c r="B100" s="121"/>
      <c r="P100" s="406" t="s">
        <v>2376</v>
      </c>
      <c r="Q100" s="411"/>
      <c r="R100" s="411"/>
      <c r="S100" s="411"/>
      <c r="T100" s="577">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0</v>
      </c>
      <c r="U100" s="577">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20</v>
      </c>
      <c r="V100" s="577">
        <f t="shared" si="11"/>
        <v>20</v>
      </c>
      <c r="W100" s="156"/>
      <c r="X100" s="550"/>
      <c r="Y100" s="551"/>
      <c r="Z100" s="551"/>
      <c r="AA100" s="551"/>
      <c r="AB100" s="551"/>
      <c r="AC100" s="551"/>
      <c r="AD100" s="551"/>
      <c r="AE100" s="551"/>
      <c r="AF100" s="552"/>
      <c r="AG100" s="157"/>
      <c r="AH100" s="116"/>
    </row>
    <row r="101" spans="1:34" ht="18.75" customHeight="1">
      <c r="A101" s="116"/>
      <c r="B101" s="121"/>
      <c r="D101" s="479"/>
      <c r="E101" s="479"/>
      <c r="P101" s="404" t="s">
        <v>2339</v>
      </c>
      <c r="Q101" s="404"/>
      <c r="R101" s="404"/>
      <c r="S101" s="404"/>
      <c r="T101" s="404">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8</v>
      </c>
      <c r="U101" s="404">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55</v>
      </c>
      <c r="V101" s="404">
        <f t="shared" si="11"/>
        <v>47</v>
      </c>
      <c r="W101" s="156"/>
      <c r="X101" s="550"/>
      <c r="Y101" s="551"/>
      <c r="Z101" s="551"/>
      <c r="AA101" s="551"/>
      <c r="AB101" s="551"/>
      <c r="AC101" s="551"/>
      <c r="AD101" s="551"/>
      <c r="AE101" s="551"/>
      <c r="AF101" s="552"/>
      <c r="AG101" s="157"/>
      <c r="AH101" s="116"/>
    </row>
    <row r="102" spans="1:34" ht="18.75" customHeight="1">
      <c r="A102" s="116"/>
      <c r="B102" s="121"/>
      <c r="D102" s="479"/>
      <c r="E102" s="479"/>
      <c r="P102" s="406" t="s">
        <v>2386</v>
      </c>
      <c r="Q102" s="409"/>
      <c r="R102" s="409"/>
      <c r="S102" s="409"/>
      <c r="T102" s="576">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8</v>
      </c>
      <c r="U102" s="576">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55</v>
      </c>
      <c r="V102" s="576">
        <f t="shared" si="11"/>
        <v>47</v>
      </c>
      <c r="W102" s="156"/>
      <c r="X102" s="550"/>
      <c r="Y102" s="551"/>
      <c r="Z102" s="551"/>
      <c r="AA102" s="551"/>
      <c r="AB102" s="551"/>
      <c r="AC102" s="551"/>
      <c r="AD102" s="551"/>
      <c r="AE102" s="551"/>
      <c r="AF102" s="552"/>
      <c r="AG102" s="157"/>
      <c r="AH102" s="116"/>
    </row>
    <row r="103" spans="1:34" ht="18.75" customHeight="1">
      <c r="A103" s="116"/>
      <c r="B103" s="121"/>
      <c r="D103" s="479"/>
      <c r="E103" s="479"/>
      <c r="P103" s="406" t="s">
        <v>2376</v>
      </c>
      <c r="Q103" s="411"/>
      <c r="R103" s="411"/>
      <c r="S103" s="411"/>
      <c r="T103" s="577">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577">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577">
        <f t="shared" si="11"/>
        <v>0</v>
      </c>
      <c r="W103" s="156"/>
      <c r="X103" s="550"/>
      <c r="Y103" s="551"/>
      <c r="Z103" s="551"/>
      <c r="AA103" s="551"/>
      <c r="AB103" s="551"/>
      <c r="AC103" s="551"/>
      <c r="AD103" s="551"/>
      <c r="AE103" s="551"/>
      <c r="AF103" s="552"/>
      <c r="AG103" s="157"/>
      <c r="AH103" s="116"/>
    </row>
    <row r="104" spans="1:34" ht="17.850000000000001" customHeight="1">
      <c r="A104" s="116"/>
      <c r="B104" s="121"/>
      <c r="D104" s="479"/>
      <c r="E104" s="479"/>
      <c r="P104" s="404" t="s">
        <v>613</v>
      </c>
      <c r="Q104" s="404"/>
      <c r="R104" s="404"/>
      <c r="S104" s="404"/>
      <c r="T104" s="404">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6</v>
      </c>
      <c r="U104" s="404">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4">
        <f t="shared" si="11"/>
        <v>-6</v>
      </c>
      <c r="W104" s="156"/>
      <c r="X104" s="550"/>
      <c r="Y104" s="551"/>
      <c r="Z104" s="551"/>
      <c r="AA104" s="551"/>
      <c r="AB104" s="551"/>
      <c r="AC104" s="551"/>
      <c r="AD104" s="551"/>
      <c r="AE104" s="551"/>
      <c r="AF104" s="552"/>
      <c r="AG104" s="157"/>
      <c r="AH104" s="116"/>
    </row>
    <row r="105" spans="1:34" ht="17.850000000000001" customHeight="1">
      <c r="A105" s="116"/>
      <c r="B105" s="121"/>
      <c r="D105" s="479"/>
      <c r="E105" s="527" t="str">
        <f>+"#"&amp;$U$119</f>
        <v>#296</v>
      </c>
      <c r="P105" s="406" t="s">
        <v>2386</v>
      </c>
      <c r="Q105" s="409"/>
      <c r="R105" s="409"/>
      <c r="S105" s="409"/>
      <c r="T105" s="576">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6</v>
      </c>
      <c r="U105" s="576">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576">
        <f t="shared" si="11"/>
        <v>-6</v>
      </c>
      <c r="W105" s="156"/>
      <c r="X105" s="550"/>
      <c r="Y105" s="551"/>
      <c r="Z105" s="551"/>
      <c r="AA105" s="551"/>
      <c r="AB105" s="551"/>
      <c r="AC105" s="551"/>
      <c r="AD105" s="551"/>
      <c r="AE105" s="551"/>
      <c r="AF105" s="552"/>
      <c r="AG105" s="157"/>
      <c r="AH105" s="116"/>
    </row>
    <row r="106" spans="1:34" ht="17.850000000000001" customHeight="1">
      <c r="A106" s="116"/>
      <c r="B106" s="121"/>
      <c r="D106" s="479"/>
      <c r="E106" s="527"/>
      <c r="P106" s="406" t="s">
        <v>2376</v>
      </c>
      <c r="Q106" s="411"/>
      <c r="R106" s="411"/>
      <c r="S106" s="411"/>
      <c r="T106" s="577">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577">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577">
        <f t="shared" si="11"/>
        <v>0</v>
      </c>
      <c r="W106" s="156"/>
      <c r="X106" s="550"/>
      <c r="Y106" s="551"/>
      <c r="Z106" s="551"/>
      <c r="AA106" s="551"/>
      <c r="AB106" s="551"/>
      <c r="AC106" s="551"/>
      <c r="AD106" s="551"/>
      <c r="AE106" s="551"/>
      <c r="AF106" s="552"/>
      <c r="AG106" s="157"/>
      <c r="AH106" s="116"/>
    </row>
    <row r="107" spans="1:34" ht="17.850000000000001" customHeight="1">
      <c r="A107" s="116"/>
      <c r="B107" s="121"/>
      <c r="D107" s="479"/>
      <c r="E107" s="527"/>
      <c r="P107" s="404" t="s">
        <v>614</v>
      </c>
      <c r="Q107" s="404"/>
      <c r="R107" s="404"/>
      <c r="S107" s="404"/>
      <c r="T107" s="404">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55</v>
      </c>
      <c r="U107" s="404">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4">
        <f t="shared" si="11"/>
        <v>-55</v>
      </c>
      <c r="W107" s="156"/>
      <c r="X107" s="550"/>
      <c r="Y107" s="551"/>
      <c r="Z107" s="551"/>
      <c r="AA107" s="551"/>
      <c r="AB107" s="551"/>
      <c r="AC107" s="551"/>
      <c r="AD107" s="551"/>
      <c r="AE107" s="551"/>
      <c r="AF107" s="552"/>
      <c r="AG107" s="157"/>
      <c r="AH107" s="116"/>
    </row>
    <row r="108" spans="1:34" ht="17.850000000000001" customHeight="1">
      <c r="A108" s="116"/>
      <c r="B108" s="121"/>
      <c r="D108" s="402"/>
      <c r="E108" s="402"/>
      <c r="P108" s="406" t="s">
        <v>2386</v>
      </c>
      <c r="Q108" s="409"/>
      <c r="R108" s="409"/>
      <c r="S108" s="409"/>
      <c r="T108" s="576">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55</v>
      </c>
      <c r="U108" s="576">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576">
        <f t="shared" si="11"/>
        <v>-55</v>
      </c>
      <c r="W108" s="156"/>
      <c r="X108" s="550"/>
      <c r="Y108" s="551"/>
      <c r="Z108" s="551"/>
      <c r="AA108" s="551"/>
      <c r="AB108" s="551"/>
      <c r="AC108" s="551"/>
      <c r="AD108" s="551"/>
      <c r="AE108" s="551"/>
      <c r="AF108" s="552"/>
      <c r="AG108" s="157"/>
      <c r="AH108" s="116"/>
    </row>
    <row r="109" spans="1:34" ht="17.850000000000001" customHeight="1">
      <c r="A109" s="116"/>
      <c r="B109" s="121"/>
      <c r="D109" s="402"/>
      <c r="E109" s="402"/>
      <c r="P109" s="406" t="s">
        <v>2376</v>
      </c>
      <c r="Q109" s="411"/>
      <c r="R109" s="411"/>
      <c r="S109" s="411"/>
      <c r="T109" s="577">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577">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577">
        <f t="shared" si="11"/>
        <v>0</v>
      </c>
      <c r="W109" s="156"/>
      <c r="X109" s="550"/>
      <c r="Y109" s="551"/>
      <c r="Z109" s="551"/>
      <c r="AA109" s="551"/>
      <c r="AB109" s="551"/>
      <c r="AC109" s="551"/>
      <c r="AD109" s="551"/>
      <c r="AE109" s="551"/>
      <c r="AF109" s="552"/>
      <c r="AG109" s="157"/>
      <c r="AH109" s="116"/>
    </row>
    <row r="110" spans="1:34" ht="17.850000000000001" customHeight="1">
      <c r="A110" s="116"/>
      <c r="B110" s="121"/>
      <c r="P110" s="404" t="s">
        <v>615</v>
      </c>
      <c r="Q110" s="404"/>
      <c r="R110" s="404" t="s">
        <v>616</v>
      </c>
      <c r="S110" s="404"/>
      <c r="T110" s="404">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4">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4">
        <f t="shared" si="11"/>
        <v>0</v>
      </c>
      <c r="W110" s="156"/>
      <c r="X110" s="550"/>
      <c r="Y110" s="551"/>
      <c r="Z110" s="551"/>
      <c r="AA110" s="551"/>
      <c r="AB110" s="551"/>
      <c r="AC110" s="551"/>
      <c r="AD110" s="551"/>
      <c r="AE110" s="551"/>
      <c r="AF110" s="552"/>
      <c r="AG110" s="157"/>
      <c r="AH110" s="116"/>
    </row>
    <row r="111" spans="1:34" ht="17.850000000000001" customHeight="1">
      <c r="A111" s="116"/>
      <c r="B111" s="121"/>
      <c r="P111" s="406" t="s">
        <v>2386</v>
      </c>
      <c r="Q111" s="409"/>
      <c r="R111" s="409"/>
      <c r="S111" s="409"/>
      <c r="T111" s="576">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576">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576">
        <f t="shared" si="11"/>
        <v>0</v>
      </c>
      <c r="W111" s="156"/>
      <c r="X111" s="550"/>
      <c r="Y111" s="551"/>
      <c r="Z111" s="551"/>
      <c r="AA111" s="551"/>
      <c r="AB111" s="551"/>
      <c r="AC111" s="551"/>
      <c r="AD111" s="551"/>
      <c r="AE111" s="551"/>
      <c r="AF111" s="552"/>
      <c r="AG111" s="157"/>
      <c r="AH111" s="116"/>
    </row>
    <row r="112" spans="1:34" ht="17.850000000000001" customHeight="1">
      <c r="A112" s="116"/>
      <c r="B112" s="121"/>
      <c r="P112" s="406" t="s">
        <v>2376</v>
      </c>
      <c r="Q112" s="411"/>
      <c r="R112" s="411"/>
      <c r="S112" s="411"/>
      <c r="T112" s="577">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577">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577">
        <f t="shared" si="11"/>
        <v>0</v>
      </c>
      <c r="W112" s="156"/>
      <c r="X112" s="550"/>
      <c r="Y112" s="551"/>
      <c r="Z112" s="551"/>
      <c r="AA112" s="551"/>
      <c r="AB112" s="551"/>
      <c r="AC112" s="551"/>
      <c r="AD112" s="551"/>
      <c r="AE112" s="551"/>
      <c r="AF112" s="552"/>
      <c r="AG112" s="157"/>
      <c r="AH112" s="116"/>
    </row>
    <row r="113" spans="1:34">
      <c r="A113" s="116"/>
      <c r="B113" s="121"/>
      <c r="P113" s="404" t="s">
        <v>2340</v>
      </c>
      <c r="Q113" s="404"/>
      <c r="R113" s="404"/>
      <c r="S113" s="404"/>
      <c r="T113" s="404">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21</v>
      </c>
      <c r="U113" s="404">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14</v>
      </c>
      <c r="V113" s="404">
        <f t="shared" si="11"/>
        <v>-7</v>
      </c>
      <c r="X113" s="550"/>
      <c r="Y113" s="551"/>
      <c r="Z113" s="551"/>
      <c r="AA113" s="551"/>
      <c r="AB113" s="551"/>
      <c r="AC113" s="551"/>
      <c r="AD113" s="551"/>
      <c r="AE113" s="551"/>
      <c r="AF113" s="552"/>
      <c r="AG113" s="157"/>
      <c r="AH113" s="116"/>
    </row>
    <row r="114" spans="1:34">
      <c r="A114" s="116"/>
      <c r="B114" s="121"/>
      <c r="P114" s="406" t="s">
        <v>2386</v>
      </c>
      <c r="Q114" s="409"/>
      <c r="R114" s="409"/>
      <c r="S114" s="409"/>
      <c r="T114" s="576">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1</v>
      </c>
      <c r="U114" s="576">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9</v>
      </c>
      <c r="V114" s="576">
        <f t="shared" si="11"/>
        <v>8</v>
      </c>
      <c r="X114" s="550"/>
      <c r="Y114" s="551"/>
      <c r="Z114" s="551"/>
      <c r="AA114" s="551"/>
      <c r="AB114" s="551"/>
      <c r="AC114" s="551"/>
      <c r="AD114" s="551"/>
      <c r="AE114" s="551"/>
      <c r="AF114" s="552"/>
      <c r="AG114" s="157"/>
      <c r="AH114" s="116"/>
    </row>
    <row r="115" spans="1:34">
      <c r="A115" s="116"/>
      <c r="B115" s="121"/>
      <c r="P115" s="406" t="s">
        <v>2376</v>
      </c>
      <c r="Q115" s="411"/>
      <c r="R115" s="411"/>
      <c r="S115" s="411"/>
      <c r="T115" s="577">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20</v>
      </c>
      <c r="U115" s="577">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577">
        <f t="shared" si="11"/>
        <v>-15</v>
      </c>
      <c r="X115" s="550"/>
      <c r="Y115" s="551"/>
      <c r="Z115" s="551"/>
      <c r="AA115" s="551"/>
      <c r="AB115" s="551"/>
      <c r="AC115" s="551"/>
      <c r="AD115" s="551"/>
      <c r="AE115" s="551"/>
      <c r="AF115" s="552"/>
      <c r="AG115" s="157"/>
      <c r="AH115" s="116"/>
    </row>
    <row r="116" spans="1:34">
      <c r="A116" s="116"/>
      <c r="B116" s="121"/>
      <c r="P116" s="404" t="s">
        <v>28</v>
      </c>
      <c r="Q116" s="404"/>
      <c r="R116" s="404"/>
      <c r="S116" s="404"/>
      <c r="T116" s="404">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5</v>
      </c>
      <c r="U116" s="404">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4">
        <f t="shared" si="11"/>
        <v>-5</v>
      </c>
      <c r="X116" s="550"/>
      <c r="Y116" s="551"/>
      <c r="Z116" s="551"/>
      <c r="AA116" s="551"/>
      <c r="AB116" s="551"/>
      <c r="AC116" s="551"/>
      <c r="AD116" s="551"/>
      <c r="AE116" s="551"/>
      <c r="AF116" s="552"/>
      <c r="AG116" s="157"/>
      <c r="AH116" s="116"/>
    </row>
    <row r="117" spans="1:34">
      <c r="A117" s="116"/>
      <c r="B117" s="121"/>
      <c r="P117" s="406" t="s">
        <v>2386</v>
      </c>
      <c r="Q117" s="409"/>
      <c r="R117" s="409"/>
      <c r="S117" s="409"/>
      <c r="T117" s="576">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576">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576">
        <f t="shared" si="11"/>
        <v>0</v>
      </c>
      <c r="X117" s="550"/>
      <c r="Y117" s="551"/>
      <c r="Z117" s="551"/>
      <c r="AA117" s="551"/>
      <c r="AB117" s="551"/>
      <c r="AC117" s="551"/>
      <c r="AD117" s="551"/>
      <c r="AE117" s="551"/>
      <c r="AF117" s="552"/>
      <c r="AG117" s="157"/>
      <c r="AH117" s="116"/>
    </row>
    <row r="118" spans="1:34">
      <c r="A118" s="116"/>
      <c r="B118" s="121"/>
      <c r="P118" s="412" t="s">
        <v>2376</v>
      </c>
      <c r="Q118" s="413"/>
      <c r="R118" s="413"/>
      <c r="S118" s="413"/>
      <c r="T118" s="578">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5</v>
      </c>
      <c r="U118" s="578">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578">
        <f t="shared" si="11"/>
        <v>-5</v>
      </c>
      <c r="X118" s="550"/>
      <c r="Y118" s="551"/>
      <c r="Z118" s="551"/>
      <c r="AA118" s="551"/>
      <c r="AB118" s="551"/>
      <c r="AC118" s="551"/>
      <c r="AD118" s="551"/>
      <c r="AE118" s="551"/>
      <c r="AF118" s="552"/>
      <c r="AG118" s="157"/>
      <c r="AH118" s="116"/>
    </row>
    <row r="119" spans="1:34">
      <c r="A119" s="116"/>
      <c r="B119" s="121"/>
      <c r="P119" s="127" t="s">
        <v>2346</v>
      </c>
      <c r="T119" s="127">
        <f>+SUM(T92,T95,T98,T104,T107,T110,T113,T116,T101)</f>
        <v>296</v>
      </c>
      <c r="U119" s="127">
        <f>+SUM(U92,U95,U98,U104,U107,U110,U113,U116,U101)</f>
        <v>296</v>
      </c>
      <c r="V119" s="127">
        <f>+U119-T119</f>
        <v>0</v>
      </c>
      <c r="X119" s="550"/>
      <c r="Y119" s="551"/>
      <c r="Z119" s="551"/>
      <c r="AA119" s="551"/>
      <c r="AB119" s="551"/>
      <c r="AC119" s="551"/>
      <c r="AD119" s="551"/>
      <c r="AE119" s="551"/>
      <c r="AF119" s="552"/>
      <c r="AG119" s="157"/>
      <c r="AH119" s="116"/>
    </row>
    <row r="120" spans="1:34">
      <c r="A120" s="116"/>
      <c r="B120" s="121"/>
      <c r="P120" s="414" t="s">
        <v>2386</v>
      </c>
      <c r="T120" s="579">
        <f>+SUM(T93,T96,T99,T102,T105,T108,T111,T114,T117)</f>
        <v>271</v>
      </c>
      <c r="U120" s="579">
        <f>+SUM(U93,U96,U99,U102,U105,U108,U111,U114,U117)</f>
        <v>271</v>
      </c>
      <c r="V120" s="579">
        <f>+U120-T120</f>
        <v>0</v>
      </c>
      <c r="X120" s="550"/>
      <c r="Y120" s="551"/>
      <c r="Z120" s="551"/>
      <c r="AA120" s="551"/>
      <c r="AB120" s="551"/>
      <c r="AC120" s="551"/>
      <c r="AD120" s="551"/>
      <c r="AE120" s="551"/>
      <c r="AF120" s="552"/>
      <c r="AG120" s="157"/>
      <c r="AH120" s="116"/>
    </row>
    <row r="121" spans="1:34">
      <c r="A121" s="116"/>
      <c r="B121" s="121"/>
      <c r="P121" s="415" t="s">
        <v>2376</v>
      </c>
      <c r="Q121" s="130"/>
      <c r="R121" s="130"/>
      <c r="S121" s="130"/>
      <c r="T121" s="580">
        <f>+SUM(T94,T97,T100,T103,T106,T109,T112,T115,T118)</f>
        <v>25</v>
      </c>
      <c r="U121" s="580">
        <f>+SUM(U94,U97,U100,U103,U106,U109,U112,U115,U118)</f>
        <v>25</v>
      </c>
      <c r="V121" s="580">
        <f>+U121-T121</f>
        <v>0</v>
      </c>
      <c r="X121" s="550"/>
      <c r="Y121" s="551"/>
      <c r="Z121" s="551"/>
      <c r="AA121" s="551"/>
      <c r="AB121" s="551"/>
      <c r="AC121" s="551"/>
      <c r="AD121" s="551"/>
      <c r="AE121" s="551"/>
      <c r="AF121" s="552"/>
      <c r="AG121" s="157"/>
      <c r="AH121" s="116"/>
    </row>
    <row r="122" spans="1:34">
      <c r="A122" s="116"/>
      <c r="B122" s="121"/>
      <c r="X122" s="550"/>
      <c r="Y122" s="551"/>
      <c r="Z122" s="551"/>
      <c r="AA122" s="551"/>
      <c r="AB122" s="551"/>
      <c r="AC122" s="551"/>
      <c r="AD122" s="551"/>
      <c r="AE122" s="551"/>
      <c r="AF122" s="552"/>
      <c r="AG122" s="157"/>
      <c r="AH122" s="116"/>
    </row>
    <row r="123" spans="1:34">
      <c r="A123" s="116"/>
      <c r="B123" s="121"/>
      <c r="P123" s="129" t="s">
        <v>632</v>
      </c>
      <c r="Q123" s="130"/>
      <c r="R123" s="130"/>
      <c r="S123" s="130"/>
      <c r="T123" s="130"/>
      <c r="U123" s="130"/>
      <c r="V123" s="130"/>
      <c r="X123" s="550"/>
      <c r="Y123" s="551"/>
      <c r="Z123" s="551"/>
      <c r="AA123" s="551"/>
      <c r="AB123" s="551"/>
      <c r="AC123" s="551"/>
      <c r="AD123" s="551"/>
      <c r="AE123" s="551"/>
      <c r="AF123" s="552"/>
      <c r="AG123" s="157"/>
      <c r="AH123" s="116"/>
    </row>
    <row r="124" spans="1:34">
      <c r="A124" s="116"/>
      <c r="B124" s="121"/>
      <c r="O124" s="159" t="s">
        <v>619</v>
      </c>
      <c r="P124" s="25" t="s">
        <v>216</v>
      </c>
      <c r="T124" s="161" t="s">
        <v>621</v>
      </c>
      <c r="X124" s="550"/>
      <c r="Y124" s="551"/>
      <c r="Z124" s="551"/>
      <c r="AA124" s="551"/>
      <c r="AB124" s="551"/>
      <c r="AC124" s="551"/>
      <c r="AD124" s="551"/>
      <c r="AE124" s="551"/>
      <c r="AF124" s="552"/>
      <c r="AG124" s="157"/>
      <c r="AH124" s="116"/>
    </row>
    <row r="125" spans="1:34">
      <c r="A125" s="116"/>
      <c r="B125" s="121"/>
      <c r="O125" s="159" t="s">
        <v>619</v>
      </c>
      <c r="P125" s="25" t="s">
        <v>215</v>
      </c>
      <c r="T125" s="161" t="s">
        <v>621</v>
      </c>
      <c r="X125" s="550"/>
      <c r="Y125" s="551"/>
      <c r="Z125" s="551"/>
      <c r="AA125" s="551"/>
      <c r="AB125" s="551"/>
      <c r="AC125" s="551"/>
      <c r="AD125" s="551"/>
      <c r="AE125" s="551"/>
      <c r="AF125" s="552"/>
      <c r="AG125" s="157"/>
      <c r="AH125" s="116"/>
    </row>
    <row r="126" spans="1:34">
      <c r="A126" s="116"/>
      <c r="B126" s="121"/>
      <c r="O126" s="159" t="s">
        <v>619</v>
      </c>
      <c r="P126" s="25" t="s">
        <v>213</v>
      </c>
      <c r="T126" s="161" t="s">
        <v>621</v>
      </c>
      <c r="X126" s="550"/>
      <c r="Y126" s="551"/>
      <c r="Z126" s="551"/>
      <c r="AA126" s="551"/>
      <c r="AB126" s="551"/>
      <c r="AC126" s="551"/>
      <c r="AD126" s="551"/>
      <c r="AE126" s="551"/>
      <c r="AF126" s="552"/>
      <c r="AG126" s="157"/>
      <c r="AH126" s="116"/>
    </row>
    <row r="127" spans="1:34">
      <c r="A127" s="116"/>
      <c r="B127" s="121"/>
      <c r="O127" s="159" t="s">
        <v>619</v>
      </c>
      <c r="P127" s="25" t="s">
        <v>212</v>
      </c>
      <c r="T127" s="161" t="s">
        <v>621</v>
      </c>
      <c r="X127" s="550"/>
      <c r="Y127" s="551"/>
      <c r="Z127" s="551"/>
      <c r="AA127" s="551"/>
      <c r="AB127" s="551"/>
      <c r="AC127" s="551"/>
      <c r="AD127" s="551"/>
      <c r="AE127" s="551"/>
      <c r="AF127" s="552"/>
      <c r="AG127" s="157"/>
      <c r="AH127" s="116"/>
    </row>
    <row r="128" spans="1:34">
      <c r="A128" s="116"/>
      <c r="B128" s="121"/>
      <c r="O128" s="159" t="s">
        <v>619</v>
      </c>
      <c r="P128" s="25" t="s">
        <v>217</v>
      </c>
      <c r="T128" s="161" t="s">
        <v>621</v>
      </c>
      <c r="X128" s="550"/>
      <c r="Y128" s="551"/>
      <c r="Z128" s="551"/>
      <c r="AA128" s="551"/>
      <c r="AB128" s="551"/>
      <c r="AC128" s="551"/>
      <c r="AD128" s="551"/>
      <c r="AE128" s="551"/>
      <c r="AF128" s="552"/>
      <c r="AG128" s="157"/>
      <c r="AH128" s="116"/>
    </row>
    <row r="129" spans="1:34">
      <c r="A129" s="116"/>
      <c r="B129" s="121"/>
      <c r="O129" s="159" t="s">
        <v>619</v>
      </c>
      <c r="P129" s="25" t="s">
        <v>218</v>
      </c>
      <c r="T129" s="161" t="s">
        <v>621</v>
      </c>
      <c r="X129" s="550"/>
      <c r="Y129" s="551"/>
      <c r="Z129" s="551"/>
      <c r="AA129" s="551"/>
      <c r="AB129" s="551"/>
      <c r="AC129" s="551"/>
      <c r="AD129" s="551"/>
      <c r="AE129" s="551"/>
      <c r="AF129" s="552"/>
      <c r="AG129" s="157"/>
      <c r="AH129" s="116"/>
    </row>
    <row r="130" spans="1:34">
      <c r="A130" s="116"/>
      <c r="B130" s="121"/>
      <c r="O130" s="159" t="s">
        <v>619</v>
      </c>
      <c r="P130" s="25" t="s">
        <v>219</v>
      </c>
      <c r="T130" s="161" t="s">
        <v>621</v>
      </c>
      <c r="X130" s="550"/>
      <c r="Y130" s="551"/>
      <c r="Z130" s="551"/>
      <c r="AA130" s="551"/>
      <c r="AB130" s="551"/>
      <c r="AC130" s="551"/>
      <c r="AD130" s="551"/>
      <c r="AE130" s="551"/>
      <c r="AF130" s="552"/>
      <c r="AG130" s="157"/>
      <c r="AH130" s="116"/>
    </row>
    <row r="131" spans="1:34">
      <c r="A131" s="116"/>
      <c r="B131" s="121"/>
      <c r="O131" s="159" t="s">
        <v>619</v>
      </c>
      <c r="P131" s="25" t="s">
        <v>214</v>
      </c>
      <c r="T131" s="161" t="s">
        <v>621</v>
      </c>
      <c r="X131" s="550"/>
      <c r="Y131" s="551"/>
      <c r="Z131" s="551"/>
      <c r="AA131" s="551"/>
      <c r="AB131" s="551"/>
      <c r="AC131" s="551"/>
      <c r="AD131" s="551"/>
      <c r="AE131" s="551"/>
      <c r="AF131" s="552"/>
      <c r="AG131" s="157"/>
      <c r="AH131" s="116"/>
    </row>
    <row r="132" spans="1:34">
      <c r="A132" s="116"/>
      <c r="B132" s="121"/>
      <c r="O132" s="159" t="s">
        <v>619</v>
      </c>
      <c r="P132" s="25" t="s">
        <v>182</v>
      </c>
      <c r="T132" s="249" t="s">
        <v>1922</v>
      </c>
      <c r="X132" s="550"/>
      <c r="Y132" s="551"/>
      <c r="Z132" s="551"/>
      <c r="AA132" s="551"/>
      <c r="AB132" s="551"/>
      <c r="AC132" s="551"/>
      <c r="AD132" s="551"/>
      <c r="AE132" s="551"/>
      <c r="AF132" s="552"/>
      <c r="AG132" s="157"/>
      <c r="AH132" s="116"/>
    </row>
    <row r="133" spans="1:34">
      <c r="A133" s="116"/>
      <c r="B133" s="121"/>
      <c r="O133" s="159" t="s">
        <v>619</v>
      </c>
      <c r="P133" s="174" t="s">
        <v>2337</v>
      </c>
      <c r="T133" s="575" t="s">
        <v>2335</v>
      </c>
      <c r="X133" s="550"/>
      <c r="Y133" s="551"/>
      <c r="Z133" s="551"/>
      <c r="AA133" s="551"/>
      <c r="AB133" s="551"/>
      <c r="AC133" s="551"/>
      <c r="AD133" s="551"/>
      <c r="AE133" s="551"/>
      <c r="AF133" s="552"/>
      <c r="AG133" s="157"/>
      <c r="AH133" s="116"/>
    </row>
    <row r="134" spans="1:34">
      <c r="A134" s="116"/>
      <c r="B134" s="121"/>
      <c r="O134" s="159" t="s">
        <v>619</v>
      </c>
      <c r="P134" s="174" t="s">
        <v>2336</v>
      </c>
      <c r="T134" s="161" t="s">
        <v>621</v>
      </c>
      <c r="X134" s="550"/>
      <c r="Y134" s="551"/>
      <c r="Z134" s="551"/>
      <c r="AA134" s="551"/>
      <c r="AB134" s="551"/>
      <c r="AC134" s="551"/>
      <c r="AD134" s="551"/>
      <c r="AE134" s="551"/>
      <c r="AF134" s="552"/>
      <c r="AG134" s="157"/>
      <c r="AH134" s="116"/>
    </row>
    <row r="135" spans="1:34">
      <c r="A135" s="116"/>
      <c r="B135" s="121"/>
      <c r="P135" s="158"/>
      <c r="X135" s="550"/>
      <c r="Y135" s="551"/>
      <c r="Z135" s="551"/>
      <c r="AA135" s="551"/>
      <c r="AB135" s="551"/>
      <c r="AC135" s="551"/>
      <c r="AD135" s="551"/>
      <c r="AE135" s="551"/>
      <c r="AF135" s="552"/>
      <c r="AG135" s="157"/>
      <c r="AH135" s="116"/>
    </row>
    <row r="136" spans="1:34">
      <c r="A136" s="116"/>
      <c r="B136" s="121"/>
      <c r="O136" s="159" t="s">
        <v>619</v>
      </c>
      <c r="P136" s="129" t="s">
        <v>633</v>
      </c>
      <c r="Q136" s="130"/>
      <c r="R136" s="130"/>
      <c r="S136" s="130"/>
      <c r="T136" s="130"/>
      <c r="U136" s="130"/>
      <c r="V136" s="130"/>
      <c r="X136" s="550"/>
      <c r="Y136" s="551"/>
      <c r="Z136" s="551"/>
      <c r="AA136" s="551"/>
      <c r="AB136" s="551"/>
      <c r="AC136" s="551"/>
      <c r="AD136" s="551"/>
      <c r="AE136" s="551"/>
      <c r="AF136" s="552"/>
      <c r="AG136" s="157"/>
      <c r="AH136" s="116"/>
    </row>
    <row r="137" spans="1:34">
      <c r="A137" s="116"/>
      <c r="B137" s="121"/>
      <c r="O137" s="159" t="s">
        <v>619</v>
      </c>
      <c r="P137" s="25" t="s">
        <v>634</v>
      </c>
      <c r="T137" s="161" t="s">
        <v>621</v>
      </c>
      <c r="X137" s="550"/>
      <c r="Y137" s="551"/>
      <c r="Z137" s="551"/>
      <c r="AA137" s="551"/>
      <c r="AB137" s="551"/>
      <c r="AC137" s="551"/>
      <c r="AD137" s="551"/>
      <c r="AE137" s="551"/>
      <c r="AF137" s="552"/>
      <c r="AG137" s="157"/>
      <c r="AH137" s="116"/>
    </row>
    <row r="138" spans="1:34">
      <c r="A138" s="116"/>
      <c r="B138" s="121"/>
      <c r="O138" s="159" t="s">
        <v>619</v>
      </c>
      <c r="P138" s="25" t="s">
        <v>311</v>
      </c>
      <c r="T138" s="161" t="s">
        <v>635</v>
      </c>
      <c r="X138" s="550"/>
      <c r="Y138" s="551"/>
      <c r="Z138" s="551"/>
      <c r="AA138" s="551"/>
      <c r="AB138" s="551"/>
      <c r="AC138" s="551"/>
      <c r="AD138" s="551"/>
      <c r="AE138" s="551"/>
      <c r="AF138" s="552"/>
      <c r="AG138" s="157"/>
      <c r="AH138" s="116"/>
    </row>
    <row r="139" spans="1:34">
      <c r="A139" s="116"/>
      <c r="B139" s="121"/>
      <c r="O139" s="159" t="s">
        <v>619</v>
      </c>
      <c r="P139" s="25" t="s">
        <v>325</v>
      </c>
      <c r="T139" s="161" t="s">
        <v>621</v>
      </c>
      <c r="X139" s="550"/>
      <c r="Y139" s="551"/>
      <c r="Z139" s="551"/>
      <c r="AA139" s="551"/>
      <c r="AB139" s="551"/>
      <c r="AC139" s="551"/>
      <c r="AD139" s="551"/>
      <c r="AE139" s="551"/>
      <c r="AF139" s="552"/>
      <c r="AG139" s="157"/>
      <c r="AH139" s="116"/>
    </row>
    <row r="140" spans="1:34">
      <c r="A140" s="116"/>
      <c r="B140" s="121"/>
      <c r="O140" s="159"/>
      <c r="P140" s="25" t="s">
        <v>333</v>
      </c>
      <c r="T140" s="249" t="s">
        <v>1922</v>
      </c>
      <c r="X140" s="550"/>
      <c r="Y140" s="551"/>
      <c r="Z140" s="551"/>
      <c r="AA140" s="551"/>
      <c r="AB140" s="551"/>
      <c r="AC140" s="551"/>
      <c r="AD140" s="551"/>
      <c r="AE140" s="551"/>
      <c r="AF140" s="552"/>
      <c r="AG140" s="157"/>
      <c r="AH140" s="116"/>
    </row>
    <row r="141" spans="1:34">
      <c r="A141" s="116"/>
      <c r="B141" s="121"/>
      <c r="O141" s="159"/>
      <c r="T141" s="160"/>
      <c r="X141" s="553"/>
      <c r="Y141" s="554"/>
      <c r="Z141" s="554"/>
      <c r="AA141" s="554"/>
      <c r="AB141" s="554"/>
      <c r="AC141" s="554"/>
      <c r="AD141" s="554"/>
      <c r="AE141" s="554"/>
      <c r="AF141" s="555"/>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2349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0999999999999996"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45688</v>
      </c>
      <c r="U147" s="131">
        <f>U46</f>
        <v>45695</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2">U148-T148</f>
        <v>0</v>
      </c>
      <c r="X148" s="545" t="s">
        <v>2424</v>
      </c>
      <c r="Y148" s="546"/>
      <c r="Z148" s="546"/>
      <c r="AA148" s="546"/>
      <c r="AB148" s="546"/>
      <c r="AC148" s="546"/>
      <c r="AD148" s="546"/>
      <c r="AE148" s="546"/>
      <c r="AF148" s="546"/>
      <c r="AG148" s="162"/>
      <c r="AH148" s="116"/>
    </row>
    <row r="149" spans="1:34">
      <c r="A149" s="116"/>
      <c r="B149" s="121"/>
      <c r="C149" s="482" t="s">
        <v>2393</v>
      </c>
      <c r="D149" s="481"/>
      <c r="E149" s="481"/>
      <c r="P149" s="406" t="s">
        <v>2386</v>
      </c>
      <c r="Q149" s="409"/>
      <c r="R149" s="409"/>
      <c r="S149" s="409"/>
      <c r="T149" s="576">
        <f>COUNTIFS(Table4[Status Anterior],'1. Status Resumo FY24'!$P148,Table4[Sub-âmbito],'1. Status Resumo FY24'!$G$144,Table4[Tipo de teste],"2. Campo",'2. Status Detalhe Campos FY24'!$T$7:$T$731,"*Plano anterior*")</f>
        <v>4</v>
      </c>
      <c r="U149" s="576">
        <f>COUNTIFS(Table4[Status Atual],'1. Status Resumo FY24'!$P148,Table4[Sub-âmbito],'1. Status Resumo FY24'!$G$144,Table4[Tipo de teste],"2. Campo",'2. Status Detalhe Campos FY24'!$T$7:$T$731,"*Plano anterior*")</f>
        <v>4</v>
      </c>
      <c r="V149" s="576">
        <f t="shared" si="12"/>
        <v>0</v>
      </c>
      <c r="X149" s="545"/>
      <c r="Y149" s="546"/>
      <c r="Z149" s="546"/>
      <c r="AA149" s="546"/>
      <c r="AB149" s="546"/>
      <c r="AC149" s="546"/>
      <c r="AD149" s="546"/>
      <c r="AE149" s="546"/>
      <c r="AF149" s="546"/>
      <c r="AG149" s="162"/>
      <c r="AH149" s="116"/>
    </row>
    <row r="150" spans="1:34">
      <c r="A150" s="116"/>
      <c r="B150" s="121"/>
      <c r="C150" s="480"/>
      <c r="P150" s="408" t="s">
        <v>2381</v>
      </c>
      <c r="Q150" s="409"/>
      <c r="R150" s="409"/>
      <c r="S150" s="409"/>
      <c r="T150" s="576">
        <f>COUNTIFS(Table4[Status Anterior],'1. Status Resumo FY24'!$P148,Table4[Sub-âmbito],'1. Status Resumo FY24'!$G$144,Table4[Tipo de teste],"2. Campo",'2. Status Detalhe Campos FY24'!$T$7:$T$731,"*Novo Plano*",'2. Status Detalhe Campos FY24'!$S$7:$S$731,"*Âmbito ESTR e (ou) LF*")</f>
        <v>0</v>
      </c>
      <c r="U150" s="576">
        <f>COUNTIFS(Table4[Status Atual],'1. Status Resumo FY24'!$P148,Table4[Sub-âmbito],'1. Status Resumo FY24'!$G$144,Table4[Tipo de teste],"2. Campo",'2. Status Detalhe Campos FY24'!$T$7:$T$731,"*Novo Plano*",'2. Status Detalhe Campos FY24'!$T$7:$T$731,"*Novo Plano*",'2. Status Detalhe Campos FY24'!$S$7:$S$731,"*Âmbito ESTR e (ou) LF*")</f>
        <v>0</v>
      </c>
      <c r="V150" s="576">
        <f t="shared" si="12"/>
        <v>0</v>
      </c>
      <c r="X150" s="545"/>
      <c r="Y150" s="546"/>
      <c r="Z150" s="546"/>
      <c r="AA150" s="546"/>
      <c r="AB150" s="546"/>
      <c r="AC150" s="546"/>
      <c r="AD150" s="546"/>
      <c r="AE150" s="546"/>
      <c r="AF150" s="546"/>
      <c r="AG150" s="162"/>
      <c r="AH150" s="116"/>
    </row>
    <row r="151" spans="1:34">
      <c r="A151" s="116"/>
      <c r="B151" s="121"/>
      <c r="P151" s="410" t="s">
        <v>2382</v>
      </c>
      <c r="Q151" s="411"/>
      <c r="R151" s="411"/>
      <c r="S151" s="411"/>
      <c r="T151" s="577">
        <f>COUNTIFS(Table4[Status Anterior],'1. Status Resumo FY24'!$P148,Table4[Sub-âmbito],'1. Status Resumo FY24'!$G$144,Table4[Tipo de teste],"2. Campo",'2. Status Detalhe Campos FY24'!$T$7:$T$731,"*Novo Plano*",'2. Status Detalhe Campos FY24'!$S$7:$S$731,"*Outros*")</f>
        <v>0</v>
      </c>
      <c r="U151" s="577">
        <f>COUNTIFS(Table4[Status Atual],'1. Status Resumo FY24'!$P148,Table4[Sub-âmbito],'1. Status Resumo FY24'!$G$144,Table4[Tipo de teste],"2. Campo",'2. Status Detalhe Campos FY24'!$T$7:$T$731,"*Novo Plano*",'2. Status Detalhe Campos FY24'!$T$7:$T$731,"*Novo Plano*",'2. Status Detalhe Campos FY24'!$S$7:$S$731,"*Outros*")</f>
        <v>0</v>
      </c>
      <c r="V151" s="577">
        <f t="shared" si="12"/>
        <v>0</v>
      </c>
      <c r="X151" s="545"/>
      <c r="Y151" s="546"/>
      <c r="Z151" s="546"/>
      <c r="AA151" s="546"/>
      <c r="AB151" s="546"/>
      <c r="AC151" s="546"/>
      <c r="AD151" s="546"/>
      <c r="AE151" s="546"/>
      <c r="AF151" s="546"/>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2"/>
        <v>0</v>
      </c>
      <c r="X152" s="546"/>
      <c r="Y152" s="546"/>
      <c r="Z152" s="546"/>
      <c r="AA152" s="546"/>
      <c r="AB152" s="546"/>
      <c r="AC152" s="546"/>
      <c r="AD152" s="546"/>
      <c r="AE152" s="546"/>
      <c r="AF152" s="546"/>
      <c r="AG152" s="162"/>
      <c r="AH152" s="116"/>
    </row>
    <row r="153" spans="1:34">
      <c r="A153" s="116"/>
      <c r="B153" s="121"/>
      <c r="P153" s="406" t="s">
        <v>2386</v>
      </c>
      <c r="Q153" s="409"/>
      <c r="R153" s="409"/>
      <c r="S153" s="409"/>
      <c r="T153" s="576">
        <f>COUNTIFS(Table4[Status Anterior],'1. Status Resumo FY24'!$P152,Table4[Sub-âmbito],'1. Status Resumo FY24'!$G$144,Table4[Tipo de teste],"2. Campo",'2. Status Detalhe Campos FY24'!$T$7:$T$731,"*Plano anterior*")</f>
        <v>115</v>
      </c>
      <c r="U153" s="576">
        <f>COUNTIFS(Table4[Status Atual],'1. Status Resumo FY24'!$P152,Table4[Sub-âmbito],'1. Status Resumo FY24'!$G$144,Table4[Tipo de teste],"2. Campo",'2. Status Detalhe Campos FY24'!$T$7:$T$731,"*Plano anterior*")</f>
        <v>115</v>
      </c>
      <c r="V153" s="576">
        <f t="shared" si="12"/>
        <v>0</v>
      </c>
      <c r="X153" s="546"/>
      <c r="Y153" s="546"/>
      <c r="Z153" s="546"/>
      <c r="AA153" s="546"/>
      <c r="AB153" s="546"/>
      <c r="AC153" s="546"/>
      <c r="AD153" s="546"/>
      <c r="AE153" s="546"/>
      <c r="AF153" s="546"/>
      <c r="AG153" s="162"/>
      <c r="AH153" s="116"/>
    </row>
    <row r="154" spans="1:34">
      <c r="A154" s="116"/>
      <c r="B154" s="121"/>
      <c r="P154" s="408" t="s">
        <v>2381</v>
      </c>
      <c r="Q154" s="409"/>
      <c r="R154" s="409"/>
      <c r="S154" s="409"/>
      <c r="T154" s="576">
        <f>COUNTIFS(Table4[Status Anterior],'1. Status Resumo FY24'!$P152,Table4[Sub-âmbito],'1. Status Resumo FY24'!$G$144,Table4[Tipo de teste],"2. Campo",'2. Status Detalhe Campos FY24'!$T$7:$T$731,"*Novo Plano*",'2. Status Detalhe Campos FY24'!$S$7:$S$731,"*Âmbito ESTR e (ou) LF*")</f>
        <v>0</v>
      </c>
      <c r="U154" s="576">
        <f>COUNTIFS(Table4[Status Atual],'1. Status Resumo FY24'!$P152,Table4[Sub-âmbito],'1. Status Resumo FY24'!$G$144,Table4[Tipo de teste],"2. Campo",'2. Status Detalhe Campos FY24'!$T$7:$T$731,"*Novo Plano*",'2. Status Detalhe Campos FY24'!$T$7:$T$731,"*Novo Plano*",'2. Status Detalhe Campos FY24'!$S$7:$S$731,"*Âmbito ESTR e (ou) LF*")</f>
        <v>0</v>
      </c>
      <c r="V154" s="576">
        <f t="shared" si="12"/>
        <v>0</v>
      </c>
      <c r="X154" s="546"/>
      <c r="Y154" s="546"/>
      <c r="Z154" s="546"/>
      <c r="AA154" s="546"/>
      <c r="AB154" s="546"/>
      <c r="AC154" s="546"/>
      <c r="AD154" s="546"/>
      <c r="AE154" s="546"/>
      <c r="AF154" s="546"/>
      <c r="AG154" s="162"/>
      <c r="AH154" s="116"/>
    </row>
    <row r="155" spans="1:34">
      <c r="A155" s="116"/>
      <c r="B155" s="121"/>
      <c r="P155" s="410" t="s">
        <v>2382</v>
      </c>
      <c r="Q155" s="411"/>
      <c r="R155" s="411"/>
      <c r="S155" s="411"/>
      <c r="T155" s="577">
        <f>COUNTIFS(Table4[Status Anterior],'1. Status Resumo FY24'!$P152,Table4[Sub-âmbito],'1. Status Resumo FY24'!$G$144,Table4[Tipo de teste],"2. Campo",'2. Status Detalhe Campos FY24'!$T$7:$T$731,"*Novo Plano*",'2. Status Detalhe Campos FY24'!$S$7:$S$731,"*Outros*")</f>
        <v>0</v>
      </c>
      <c r="U155" s="577">
        <f>COUNTIFS(Table4[Status Atual],'1. Status Resumo FY24'!$P152,Table4[Sub-âmbito],'1. Status Resumo FY24'!$G$144,Table4[Tipo de teste],"2. Campo",'2. Status Detalhe Campos FY24'!$T$7:$T$731,"*Novo Plano*",'2. Status Detalhe Campos FY24'!$T$7:$T$731,"*Novo Plano*",'2. Status Detalhe Campos FY24'!$S$7:$S$731,"*Outros*")</f>
        <v>0</v>
      </c>
      <c r="V155" s="577">
        <f t="shared" si="12"/>
        <v>0</v>
      </c>
      <c r="X155" s="546"/>
      <c r="Y155" s="546"/>
      <c r="Z155" s="546"/>
      <c r="AA155" s="546"/>
      <c r="AB155" s="546"/>
      <c r="AC155" s="546"/>
      <c r="AD155" s="546"/>
      <c r="AE155" s="546"/>
      <c r="AF155" s="546"/>
      <c r="AG155" s="162"/>
      <c r="AH155" s="116"/>
    </row>
    <row r="156" spans="1:34" ht="17.850000000000001" customHeight="1">
      <c r="A156" s="116"/>
      <c r="B156" s="121"/>
      <c r="P156" s="25" t="s">
        <v>1847</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2"/>
        <v>0</v>
      </c>
      <c r="X156" s="546"/>
      <c r="Y156" s="546"/>
      <c r="Z156" s="546"/>
      <c r="AA156" s="546"/>
      <c r="AB156" s="546"/>
      <c r="AC156" s="546"/>
      <c r="AD156" s="546"/>
      <c r="AE156" s="546"/>
      <c r="AF156" s="546"/>
      <c r="AG156" s="162"/>
      <c r="AH156" s="116"/>
    </row>
    <row r="157" spans="1:34" ht="17.850000000000001" customHeight="1">
      <c r="A157" s="116"/>
      <c r="B157" s="121"/>
      <c r="E157" s="527" t="str">
        <f>+"#"&amp;SUM($U$186:$U$187)</f>
        <v>#71</v>
      </c>
      <c r="P157" s="406" t="s">
        <v>2386</v>
      </c>
      <c r="Q157" s="409"/>
      <c r="R157" s="409"/>
      <c r="S157" s="409"/>
      <c r="T157" s="576">
        <f>COUNTIFS(Table4[Status Anterior],'1. Status Resumo FY24'!$P156,Table4[Sub-âmbito],'1. Status Resumo FY24'!$G$144,Table4[Tipo de teste],"2. Campo",'2. Status Detalhe Campos FY24'!$T$7:$T$731,"*Plano anterior*")</f>
        <v>0</v>
      </c>
      <c r="U157" s="576">
        <f>COUNTIFS(Table4[Status Atual],'1. Status Resumo FY24'!$P156,Table4[Sub-âmbito],'1. Status Resumo FY24'!$G$144,Table4[Tipo de teste],"2. Campo",'2. Status Detalhe Campos FY24'!$T$7:$T$731,"*Plano anterior*")</f>
        <v>0</v>
      </c>
      <c r="V157" s="576">
        <f t="shared" si="12"/>
        <v>0</v>
      </c>
      <c r="X157" s="546"/>
      <c r="Y157" s="546"/>
      <c r="Z157" s="546"/>
      <c r="AA157" s="546"/>
      <c r="AB157" s="546"/>
      <c r="AC157" s="546"/>
      <c r="AD157" s="546"/>
      <c r="AE157" s="546"/>
      <c r="AF157" s="546"/>
      <c r="AG157" s="162"/>
      <c r="AH157" s="116"/>
    </row>
    <row r="158" spans="1:34" ht="17.850000000000001" customHeight="1">
      <c r="A158" s="116"/>
      <c r="B158" s="121"/>
      <c r="E158" s="527"/>
      <c r="P158" s="408" t="s">
        <v>2381</v>
      </c>
      <c r="Q158" s="409"/>
      <c r="R158" s="409"/>
      <c r="S158" s="409"/>
      <c r="T158" s="576">
        <f>COUNTIFS(Table4[Status Anterior],'1. Status Resumo FY24'!$P156,Table4[Sub-âmbito],'1. Status Resumo FY24'!$G$144,Table4[Tipo de teste],"2. Campo",'2. Status Detalhe Campos FY24'!$T$7:$T$731,"*Novo Plano*",'2. Status Detalhe Campos FY24'!$S$7:$S$731,"*Âmbito ESTR e (ou) LF*")</f>
        <v>0</v>
      </c>
      <c r="U158" s="576">
        <f>COUNTIFS(Table4[Status Atual],'1. Status Resumo FY24'!$P156,Table4[Sub-âmbito],'1. Status Resumo FY24'!$G$144,Table4[Tipo de teste],"2. Campo",'2. Status Detalhe Campos FY24'!$T$7:$T$731,"*Novo Plano*",'2. Status Detalhe Campos FY24'!$T$7:$T$731,"*Novo Plano*",'2. Status Detalhe Campos FY24'!$S$7:$S$731,"*Âmbito ESTR e (ou) LF*")</f>
        <v>0</v>
      </c>
      <c r="V158" s="576">
        <f t="shared" si="12"/>
        <v>0</v>
      </c>
      <c r="X158" s="546"/>
      <c r="Y158" s="546"/>
      <c r="Z158" s="546"/>
      <c r="AA158" s="546"/>
      <c r="AB158" s="546"/>
      <c r="AC158" s="546"/>
      <c r="AD158" s="546"/>
      <c r="AE158" s="546"/>
      <c r="AF158" s="546"/>
      <c r="AG158" s="162"/>
      <c r="AH158" s="116"/>
    </row>
    <row r="159" spans="1:34" ht="17.850000000000001" customHeight="1">
      <c r="A159" s="116"/>
      <c r="B159" s="121"/>
      <c r="E159" s="527"/>
      <c r="P159" s="410" t="s">
        <v>2382</v>
      </c>
      <c r="Q159" s="411"/>
      <c r="R159" s="411"/>
      <c r="S159" s="411"/>
      <c r="T159" s="577">
        <f>COUNTIFS(Table4[Status Anterior],'1. Status Resumo FY24'!$P156,Table4[Sub-âmbito],'1. Status Resumo FY24'!$G$144,Table4[Tipo de teste],"2. Campo",'2. Status Detalhe Campos FY24'!$T$7:$T$731,"*Novo Plano*",'2. Status Detalhe Campos FY24'!$S$7:$S$731,"*Outros*")</f>
        <v>0</v>
      </c>
      <c r="U159" s="577">
        <f>COUNTIFS(Table4[Status Atual],'1. Status Resumo FY24'!$P156,Table4[Sub-âmbito],'1. Status Resumo FY24'!$G$144,Table4[Tipo de teste],"2. Campo",'2. Status Detalhe Campos FY24'!$T$7:$T$731,"*Novo Plano*",'2. Status Detalhe Campos FY24'!$T$7:$T$731,"*Novo Plano*",'2. Status Detalhe Campos FY24'!$S$7:$S$731,"*Outros*")</f>
        <v>0</v>
      </c>
      <c r="V159" s="577">
        <f t="shared" si="12"/>
        <v>0</v>
      </c>
      <c r="X159" s="546"/>
      <c r="Y159" s="546"/>
      <c r="Z159" s="546"/>
      <c r="AA159" s="546"/>
      <c r="AB159" s="546"/>
      <c r="AC159" s="546"/>
      <c r="AD159" s="546"/>
      <c r="AE159" s="546"/>
      <c r="AF159" s="546"/>
      <c r="AG159" s="162"/>
      <c r="AH159" s="116"/>
    </row>
    <row r="160" spans="1:34" ht="17.850000000000001" customHeight="1">
      <c r="A160" s="116"/>
      <c r="B160" s="121"/>
      <c r="D160" s="479"/>
      <c r="E160" s="479"/>
      <c r="P160" s="25" t="s">
        <v>2339</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2"/>
        <v>0</v>
      </c>
      <c r="X160" s="546"/>
      <c r="Y160" s="546"/>
      <c r="Z160" s="546"/>
      <c r="AA160" s="546"/>
      <c r="AB160" s="546"/>
      <c r="AC160" s="546"/>
      <c r="AD160" s="546"/>
      <c r="AE160" s="546"/>
      <c r="AF160" s="546"/>
      <c r="AG160" s="162"/>
      <c r="AH160" s="116"/>
    </row>
    <row r="161" spans="1:34" ht="17.850000000000001" customHeight="1">
      <c r="A161" s="116"/>
      <c r="B161" s="121"/>
      <c r="D161" s="479"/>
      <c r="E161" s="479"/>
      <c r="P161" s="406" t="s">
        <v>2386</v>
      </c>
      <c r="Q161" s="409"/>
      <c r="R161" s="409"/>
      <c r="S161" s="409"/>
      <c r="T161" s="576">
        <f>COUNTIFS(Table4[Status Anterior],'1. Status Resumo FY24'!$P160,Table4[Sub-âmbito],'1. Status Resumo FY24'!$G$144,Table4[Tipo de teste],"2. Campo",'2. Status Detalhe Campos FY24'!$T$7:$T$731,"*Plano anterior*")</f>
        <v>3</v>
      </c>
      <c r="U161" s="576">
        <f>COUNTIFS(Table4[Status Atual],'1. Status Resumo FY24'!$P160,Table4[Sub-âmbito],'1. Status Resumo FY24'!$G$144,Table4[Tipo de teste],"2. Campo",'2. Status Detalhe Campos FY24'!$T$7:$T$731,"*Plano anterior*")</f>
        <v>3</v>
      </c>
      <c r="V161" s="576">
        <f t="shared" si="12"/>
        <v>0</v>
      </c>
      <c r="X161" s="546"/>
      <c r="Y161" s="546"/>
      <c r="Z161" s="546"/>
      <c r="AA161" s="546"/>
      <c r="AB161" s="546"/>
      <c r="AC161" s="546"/>
      <c r="AD161" s="546"/>
      <c r="AE161" s="546"/>
      <c r="AF161" s="546"/>
      <c r="AG161" s="162"/>
      <c r="AH161" s="116"/>
    </row>
    <row r="162" spans="1:34" ht="17.850000000000001" customHeight="1">
      <c r="A162" s="116"/>
      <c r="B162" s="121"/>
      <c r="D162" s="479"/>
      <c r="E162" s="479"/>
      <c r="P162" s="408" t="s">
        <v>2381</v>
      </c>
      <c r="Q162" s="409"/>
      <c r="R162" s="409"/>
      <c r="S162" s="409"/>
      <c r="T162" s="576">
        <f>COUNTIFS(Table4[Status Anterior],'1. Status Resumo FY24'!$P160,Table4[Sub-âmbito],'1. Status Resumo FY24'!$G$144,Table4[Tipo de teste],"2. Campo",'2. Status Detalhe Campos FY24'!$T$7:$T$731,"*Novo Plano*",'2. Status Detalhe Campos FY24'!$S$7:$S$731,"*Âmbito ESTR e (ou) LF*")</f>
        <v>0</v>
      </c>
      <c r="U162" s="576">
        <f>COUNTIFS(Table4[Status Atual],'1. Status Resumo FY24'!$P160,Table4[Sub-âmbito],'1. Status Resumo FY24'!$G$144,Table4[Tipo de teste],"2. Campo",'2. Status Detalhe Campos FY24'!$T$7:$T$731,"*Novo Plano*",'2. Status Detalhe Campos FY24'!$T$7:$T$731,"*Novo Plano*",'2. Status Detalhe Campos FY24'!$S$7:$S$731,"*Âmbito ESTR e (ou) LF*")</f>
        <v>0</v>
      </c>
      <c r="V162" s="576">
        <f t="shared" si="12"/>
        <v>0</v>
      </c>
      <c r="X162" s="546"/>
      <c r="Y162" s="546"/>
      <c r="Z162" s="546"/>
      <c r="AA162" s="546"/>
      <c r="AB162" s="546"/>
      <c r="AC162" s="546"/>
      <c r="AD162" s="546"/>
      <c r="AE162" s="546"/>
      <c r="AF162" s="546"/>
      <c r="AG162" s="162"/>
      <c r="AH162" s="116"/>
    </row>
    <row r="163" spans="1:34" ht="17.850000000000001" customHeight="1">
      <c r="A163" s="116"/>
      <c r="B163" s="121"/>
      <c r="D163" s="479"/>
      <c r="E163" s="479"/>
      <c r="P163" s="410" t="s">
        <v>2382</v>
      </c>
      <c r="Q163" s="411"/>
      <c r="R163" s="411"/>
      <c r="S163" s="411"/>
      <c r="T163" s="577">
        <f>COUNTIFS(Table4[Status Anterior],'1. Status Resumo FY24'!$P160,Table4[Sub-âmbito],'1. Status Resumo FY24'!$G$144,Table4[Tipo de teste],"2. Campo",'2. Status Detalhe Campos FY24'!$T$7:$T$731,"*Novo Plano*",'2. Status Detalhe Campos FY24'!$S$7:$S$731,"*Outros*")</f>
        <v>0</v>
      </c>
      <c r="U163" s="577">
        <f>COUNTIFS(Table4[Status Atual],'1. Status Resumo FY24'!$P160,Table4[Sub-âmbito],'1. Status Resumo FY24'!$G$144,Table4[Tipo de teste],"2. Campo",'2. Status Detalhe Campos FY24'!$T$7:$T$731,"*Novo Plano*",'2. Status Detalhe Campos FY24'!$T$7:$T$731,"*Novo Plano*",'2. Status Detalhe Campos FY24'!$S$7:$S$731,"*Outros*")</f>
        <v>0</v>
      </c>
      <c r="V163" s="577">
        <f t="shared" si="12"/>
        <v>0</v>
      </c>
      <c r="X163" s="546"/>
      <c r="Y163" s="546"/>
      <c r="Z163" s="546"/>
      <c r="AA163" s="546"/>
      <c r="AB163" s="546"/>
      <c r="AC163" s="546"/>
      <c r="AD163" s="546"/>
      <c r="AE163" s="546"/>
      <c r="AF163" s="546"/>
      <c r="AG163" s="162"/>
      <c r="AH163" s="116"/>
    </row>
    <row r="164" spans="1:34" ht="17.25" customHeight="1">
      <c r="A164" s="116"/>
      <c r="B164" s="121"/>
      <c r="D164" s="479"/>
      <c r="E164" s="47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2"/>
        <v>0</v>
      </c>
      <c r="X164" s="546"/>
      <c r="Y164" s="546"/>
      <c r="Z164" s="546"/>
      <c r="AA164" s="546"/>
      <c r="AB164" s="546"/>
      <c r="AC164" s="546"/>
      <c r="AD164" s="546"/>
      <c r="AE164" s="546"/>
      <c r="AF164" s="546"/>
      <c r="AG164" s="162"/>
      <c r="AH164" s="116"/>
    </row>
    <row r="165" spans="1:34" ht="17.25" customHeight="1">
      <c r="A165" s="116"/>
      <c r="B165" s="121"/>
      <c r="D165" s="479"/>
      <c r="E165" s="479"/>
      <c r="P165" s="406" t="s">
        <v>2386</v>
      </c>
      <c r="Q165" s="409"/>
      <c r="R165" s="409"/>
      <c r="S165" s="409"/>
      <c r="T165" s="576">
        <f>COUNTIFS(Table4[Status Anterior],'1. Status Resumo FY24'!$P164,Table4[Sub-âmbito],'1. Status Resumo FY24'!$G$144,Table4[Tipo de teste],"2. Campo",'2. Status Detalhe Campos FY24'!$T$7:$T$731,"*Plano anterior*")</f>
        <v>10</v>
      </c>
      <c r="U165" s="576">
        <f>COUNTIFS(Table4[Status Atual],'1. Status Resumo FY24'!$P164,Table4[Sub-âmbito],'1. Status Resumo FY24'!$G$144,Table4[Tipo de teste],"2. Campo",'2. Status Detalhe Campos FY24'!$T$7:$T$731,"*Plano anterior*")</f>
        <v>10</v>
      </c>
      <c r="V165" s="576">
        <f t="shared" si="12"/>
        <v>0</v>
      </c>
      <c r="X165" s="546"/>
      <c r="Y165" s="546"/>
      <c r="Z165" s="546"/>
      <c r="AA165" s="546"/>
      <c r="AB165" s="546"/>
      <c r="AC165" s="546"/>
      <c r="AD165" s="546"/>
      <c r="AE165" s="546"/>
      <c r="AF165" s="546"/>
      <c r="AG165" s="162"/>
      <c r="AH165" s="116"/>
    </row>
    <row r="166" spans="1:34" ht="17.25" customHeight="1">
      <c r="A166" s="116"/>
      <c r="B166" s="121"/>
      <c r="D166" s="479"/>
      <c r="E166" s="479"/>
      <c r="P166" s="408" t="s">
        <v>2381</v>
      </c>
      <c r="Q166" s="409"/>
      <c r="R166" s="409"/>
      <c r="S166" s="409"/>
      <c r="T166" s="576">
        <f>COUNTIFS(Table4[Status Anterior],'1. Status Resumo FY24'!$P164,Table4[Sub-âmbito],'1. Status Resumo FY24'!$G$144,Table4[Tipo de teste],"2. Campo",'2. Status Detalhe Campos FY24'!$T$7:$T$731,"*Novo Plano*",'2. Status Detalhe Campos FY24'!$S$7:$S$731,"*Âmbito ESTR e (ou) LF*")</f>
        <v>0</v>
      </c>
      <c r="U166" s="576">
        <f>COUNTIFS(Table4[Status Atual],'1. Status Resumo FY24'!$P164,Table4[Sub-âmbito],'1. Status Resumo FY24'!$G$144,Table4[Tipo de teste],"2. Campo",'2. Status Detalhe Campos FY24'!$T$7:$T$731,"*Novo Plano*",'2. Status Detalhe Campos FY24'!$T$7:$T$731,"*Novo Plano*",'2. Status Detalhe Campos FY24'!$S$7:$S$731,"*Âmbito ESTR e (ou) LF*")</f>
        <v>0</v>
      </c>
      <c r="V166" s="576">
        <f t="shared" si="12"/>
        <v>0</v>
      </c>
      <c r="X166" s="546"/>
      <c r="Y166" s="546"/>
      <c r="Z166" s="546"/>
      <c r="AA166" s="546"/>
      <c r="AB166" s="546"/>
      <c r="AC166" s="546"/>
      <c r="AD166" s="546"/>
      <c r="AE166" s="546"/>
      <c r="AF166" s="546"/>
      <c r="AG166" s="162"/>
      <c r="AH166" s="116"/>
    </row>
    <row r="167" spans="1:34" ht="17.25" customHeight="1">
      <c r="A167" s="116"/>
      <c r="B167" s="121"/>
      <c r="D167" s="479"/>
      <c r="E167" s="479"/>
      <c r="P167" s="410" t="s">
        <v>2382</v>
      </c>
      <c r="Q167" s="411"/>
      <c r="R167" s="411"/>
      <c r="S167" s="411"/>
      <c r="T167" s="577">
        <f>COUNTIFS(Table4[Status Anterior],'1. Status Resumo FY24'!$P164,Table4[Sub-âmbito],'1. Status Resumo FY24'!$G$144,Table4[Tipo de teste],"2. Campo",'2. Status Detalhe Campos FY24'!$T$7:$T$731,"*Novo Plano*",'2. Status Detalhe Campos FY24'!$S$7:$S$731,"*Outros*")</f>
        <v>0</v>
      </c>
      <c r="U167" s="577">
        <f>COUNTIFS(Table4[Status Atual],'1. Status Resumo FY24'!$P164,Table4[Sub-âmbito],'1. Status Resumo FY24'!$G$144,Table4[Tipo de teste],"2. Campo",'2. Status Detalhe Campos FY24'!$T$7:$T$731,"*Novo Plano*",'2. Status Detalhe Campos FY24'!$T$7:$T$731,"*Novo Plano*",'2. Status Detalhe Campos FY24'!$S$7:$S$731,"*Outros*")</f>
        <v>0</v>
      </c>
      <c r="V167" s="577">
        <f t="shared" si="12"/>
        <v>0</v>
      </c>
      <c r="X167" s="546"/>
      <c r="Y167" s="546"/>
      <c r="Z167" s="546"/>
      <c r="AA167" s="546"/>
      <c r="AB167" s="546"/>
      <c r="AC167" s="546"/>
      <c r="AD167" s="546"/>
      <c r="AE167" s="546"/>
      <c r="AF167" s="546"/>
      <c r="AG167" s="162"/>
      <c r="AH167" s="116"/>
    </row>
    <row r="168" spans="1:34" ht="18.75" customHeight="1">
      <c r="A168" s="116"/>
      <c r="B168" s="121"/>
      <c r="D168" s="479"/>
      <c r="E168" s="479"/>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2"/>
        <v>0</v>
      </c>
      <c r="X168" s="546"/>
      <c r="Y168" s="546"/>
      <c r="Z168" s="546"/>
      <c r="AA168" s="546"/>
      <c r="AB168" s="546"/>
      <c r="AC168" s="546"/>
      <c r="AD168" s="546"/>
      <c r="AE168" s="546"/>
      <c r="AF168" s="546"/>
      <c r="AG168" s="162"/>
      <c r="AH168" s="116"/>
    </row>
    <row r="169" spans="1:34" ht="18.75" customHeight="1">
      <c r="A169" s="116"/>
      <c r="B169" s="121"/>
      <c r="C169" s="482" t="s">
        <v>2394</v>
      </c>
      <c r="D169" s="479"/>
      <c r="E169" s="479"/>
      <c r="P169" s="406" t="s">
        <v>2386</v>
      </c>
      <c r="Q169" s="409"/>
      <c r="R169" s="409"/>
      <c r="S169" s="409"/>
      <c r="T169" s="576">
        <f>COUNTIFS(Table4[Status Anterior],'1. Status Resumo FY24'!$P168,Table4[Sub-âmbito],'1. Status Resumo FY24'!$G$144,Table4[Tipo de teste],"2. Campo",'2. Status Detalhe Campos FY24'!$T$7:$T$731,"*Plano anterior*")</f>
        <v>2</v>
      </c>
      <c r="U169" s="576">
        <f>COUNTIFS(Table4[Status Atual],'1. Status Resumo FY24'!$P168,Table4[Sub-âmbito],'1. Status Resumo FY24'!$G$144,Table4[Tipo de teste],"2. Campo",'2. Status Detalhe Campos FY24'!$T$7:$T$731,"*Plano anterior*")</f>
        <v>2</v>
      </c>
      <c r="V169" s="576">
        <f t="shared" si="12"/>
        <v>0</v>
      </c>
      <c r="X169" s="546"/>
      <c r="Y169" s="546"/>
      <c r="Z169" s="546"/>
      <c r="AA169" s="546"/>
      <c r="AB169" s="546"/>
      <c r="AC169" s="546"/>
      <c r="AD169" s="546"/>
      <c r="AE169" s="546"/>
      <c r="AF169" s="546"/>
      <c r="AG169" s="162"/>
      <c r="AH169" s="116"/>
    </row>
    <row r="170" spans="1:34" ht="18.75" customHeight="1">
      <c r="A170" s="116"/>
      <c r="B170" s="121"/>
      <c r="D170" s="479"/>
      <c r="E170" s="479"/>
      <c r="P170" s="408" t="s">
        <v>2381</v>
      </c>
      <c r="Q170" s="409"/>
      <c r="R170" s="409"/>
      <c r="S170" s="409"/>
      <c r="T170" s="576">
        <f>COUNTIFS(Table4[Status Anterior],'1. Status Resumo FY24'!$P168,Table4[Sub-âmbito],'1. Status Resumo FY24'!$G$144,Table4[Tipo de teste],"2. Campo",'2. Status Detalhe Campos FY24'!$T$7:$T$731,"*Novo Plano*",'2. Status Detalhe Campos FY24'!$S$7:$S$731,"*Âmbito ESTR e (ou) LF*")</f>
        <v>0</v>
      </c>
      <c r="U170" s="576">
        <f>COUNTIFS(Table4[Status Atual],'1. Status Resumo FY24'!$P168,Table4[Sub-âmbito],'1. Status Resumo FY24'!$G$144,Table4[Tipo de teste],"2. Campo",'2. Status Detalhe Campos FY24'!$T$7:$T$731,"*Novo Plano*",'2. Status Detalhe Campos FY24'!$T$7:$T$731,"*Novo Plano*",'2. Status Detalhe Campos FY24'!$S$7:$S$731,"*Âmbito ESTR e (ou) LF*")</f>
        <v>0</v>
      </c>
      <c r="V170" s="576">
        <f t="shared" si="12"/>
        <v>0</v>
      </c>
      <c r="X170" s="546"/>
      <c r="Y170" s="546"/>
      <c r="Z170" s="546"/>
      <c r="AA170" s="546"/>
      <c r="AB170" s="546"/>
      <c r="AC170" s="546"/>
      <c r="AD170" s="546"/>
      <c r="AE170" s="546"/>
      <c r="AF170" s="546"/>
      <c r="AG170" s="162"/>
      <c r="AH170" s="116"/>
    </row>
    <row r="171" spans="1:34" ht="18.75" customHeight="1">
      <c r="A171" s="116"/>
      <c r="B171" s="121"/>
      <c r="D171" s="479"/>
      <c r="E171" s="479"/>
      <c r="P171" s="410" t="s">
        <v>2382</v>
      </c>
      <c r="Q171" s="411"/>
      <c r="R171" s="411"/>
      <c r="S171" s="411"/>
      <c r="T171" s="577">
        <f>COUNTIFS(Table4[Status Anterior],'1. Status Resumo FY24'!$P168,Table4[Sub-âmbito],'1. Status Resumo FY24'!$G$144,Table4[Tipo de teste],"2. Campo",'2. Status Detalhe Campos FY24'!$T$7:$T$731,"*Novo Plano*",'2. Status Detalhe Campos FY24'!$S$7:$S$731,"*Outros*")</f>
        <v>0</v>
      </c>
      <c r="U171" s="577">
        <f>COUNTIFS(Table4[Status Atual],'1. Status Resumo FY24'!$P168,Table4[Sub-âmbito],'1. Status Resumo FY24'!$G$144,Table4[Tipo de teste],"2. Campo",'2. Status Detalhe Campos FY24'!$T$7:$T$731,"*Novo Plano*",'2. Status Detalhe Campos FY24'!$T$7:$T$731,"*Novo Plano*",'2. Status Detalhe Campos FY24'!$S$7:$S$731,"*Outros*")</f>
        <v>0</v>
      </c>
      <c r="V171" s="577">
        <f t="shared" si="12"/>
        <v>0</v>
      </c>
      <c r="X171" s="546"/>
      <c r="Y171" s="546"/>
      <c r="Z171" s="546"/>
      <c r="AA171" s="546"/>
      <c r="AB171" s="546"/>
      <c r="AC171" s="546"/>
      <c r="AD171" s="546"/>
      <c r="AE171" s="546"/>
      <c r="AF171" s="546"/>
      <c r="AG171" s="162"/>
      <c r="AH171" s="116"/>
    </row>
    <row r="172" spans="1:34" ht="18.75" customHeight="1">
      <c r="A172" s="116"/>
      <c r="B172" s="121"/>
      <c r="D172" s="479"/>
      <c r="E172" s="47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2"/>
        <v>0</v>
      </c>
      <c r="X172" s="546"/>
      <c r="Y172" s="546"/>
      <c r="Z172" s="546"/>
      <c r="AA172" s="546"/>
      <c r="AB172" s="546"/>
      <c r="AC172" s="546"/>
      <c r="AD172" s="546"/>
      <c r="AE172" s="546"/>
      <c r="AF172" s="546"/>
      <c r="AG172" s="162"/>
      <c r="AH172" s="116"/>
    </row>
    <row r="173" spans="1:34" ht="18.75" customHeight="1">
      <c r="A173" s="116"/>
      <c r="B173" s="121"/>
      <c r="D173" s="479"/>
      <c r="E173" s="479"/>
      <c r="P173" s="406" t="s">
        <v>2386</v>
      </c>
      <c r="Q173" s="409"/>
      <c r="R173" s="409"/>
      <c r="S173" s="409"/>
      <c r="T173" s="576">
        <f>COUNTIFS(Table4[Status Anterior],'1. Status Resumo FY24'!$P172,Table4[Sub-âmbito],'1. Status Resumo FY24'!$G$144,Table4[Tipo de teste],"2. Campo",'2. Status Detalhe Campos FY24'!$T$7:$T$731,"*Plano anterior*")</f>
        <v>0</v>
      </c>
      <c r="U173" s="576">
        <f>COUNTIFS(Table4[Status Atual],'1. Status Resumo FY24'!$P172,Table4[Sub-âmbito],'1. Status Resumo FY24'!$G$144,Table4[Tipo de teste],"2. Campo",'2. Status Detalhe Campos FY24'!$T$7:$T$731,"*Plano anterior*")</f>
        <v>0</v>
      </c>
      <c r="V173" s="576">
        <f t="shared" si="12"/>
        <v>0</v>
      </c>
      <c r="X173" s="546"/>
      <c r="Y173" s="546"/>
      <c r="Z173" s="546"/>
      <c r="AA173" s="546"/>
      <c r="AB173" s="546"/>
      <c r="AC173" s="546"/>
      <c r="AD173" s="546"/>
      <c r="AE173" s="546"/>
      <c r="AF173" s="546"/>
      <c r="AG173" s="162"/>
      <c r="AH173" s="116"/>
    </row>
    <row r="174" spans="1:34" ht="18.75" customHeight="1">
      <c r="A174" s="116"/>
      <c r="B174" s="121"/>
      <c r="D174" s="479"/>
      <c r="E174" s="479"/>
      <c r="P174" s="408" t="s">
        <v>2381</v>
      </c>
      <c r="Q174" s="409"/>
      <c r="R174" s="409"/>
      <c r="S174" s="409"/>
      <c r="T174" s="576">
        <f>COUNTIFS(Table4[Status Anterior],'1. Status Resumo FY24'!$P172,Table4[Sub-âmbito],'1. Status Resumo FY24'!$G$144,Table4[Tipo de teste],"2. Campo",'2. Status Detalhe Campos FY24'!$T$7:$T$731,"*Novo Plano*",'2. Status Detalhe Campos FY24'!$S$7:$S$731,"*Âmbito ESTR e (ou) LF*")</f>
        <v>0</v>
      </c>
      <c r="U174" s="576">
        <f>COUNTIFS(Table4[Status Atual],'1. Status Resumo FY24'!$P172,Table4[Sub-âmbito],'1. Status Resumo FY24'!$G$144,Table4[Tipo de teste],"2. Campo",'2. Status Detalhe Campos FY24'!$T$7:$T$731,"*Novo Plano*",'2. Status Detalhe Campos FY24'!$T$7:$T$731,"*Novo Plano*",'2. Status Detalhe Campos FY24'!$S$7:$S$731,"*Âmbito ESTR e (ou) LF*")</f>
        <v>0</v>
      </c>
      <c r="V174" s="576">
        <f t="shared" si="12"/>
        <v>0</v>
      </c>
      <c r="X174" s="546"/>
      <c r="Y174" s="546"/>
      <c r="Z174" s="546"/>
      <c r="AA174" s="546"/>
      <c r="AB174" s="546"/>
      <c r="AC174" s="546"/>
      <c r="AD174" s="546"/>
      <c r="AE174" s="546"/>
      <c r="AF174" s="546"/>
      <c r="AG174" s="162"/>
      <c r="AH174" s="116"/>
    </row>
    <row r="175" spans="1:34" ht="17.850000000000001" customHeight="1">
      <c r="A175" s="116"/>
      <c r="B175" s="121"/>
      <c r="D175" s="479"/>
      <c r="E175" s="479"/>
      <c r="P175" s="410" t="s">
        <v>2382</v>
      </c>
      <c r="Q175" s="411"/>
      <c r="R175" s="411"/>
      <c r="S175" s="411"/>
      <c r="T175" s="577">
        <f>COUNTIFS(Table4[Status Anterior],'1. Status Resumo FY24'!$P172,Table4[Sub-âmbito],'1. Status Resumo FY24'!$G$144,Table4[Tipo de teste],"2. Campo",'2. Status Detalhe Campos FY24'!$T$7:$T$731,"*Novo Plano*",'2. Status Detalhe Campos FY24'!$S$7:$S$731,"*Outros*")</f>
        <v>0</v>
      </c>
      <c r="U175" s="577">
        <f>COUNTIFS(Table4[Status Atual],'1. Status Resumo FY24'!$P172,Table4[Sub-âmbito],'1. Status Resumo FY24'!$G$144,Table4[Tipo de teste],"2. Campo",'2. Status Detalhe Campos FY24'!$T$7:$T$731,"*Novo Plano*",'2. Status Detalhe Campos FY24'!$T$7:$T$731,"*Novo Plano*",'2. Status Detalhe Campos FY24'!$S$7:$S$731,"*Outros*")</f>
        <v>0</v>
      </c>
      <c r="V175" s="577">
        <f t="shared" si="12"/>
        <v>0</v>
      </c>
      <c r="X175" s="546"/>
      <c r="Y175" s="546"/>
      <c r="Z175" s="546"/>
      <c r="AA175" s="546"/>
      <c r="AB175" s="546"/>
      <c r="AC175" s="546"/>
      <c r="AD175" s="546"/>
      <c r="AE175" s="546"/>
      <c r="AF175" s="546"/>
      <c r="AG175" s="162"/>
      <c r="AH175" s="116"/>
    </row>
    <row r="176" spans="1:34" ht="17.850000000000001" customHeight="1">
      <c r="A176" s="116"/>
      <c r="B176" s="121"/>
      <c r="D176" s="479"/>
      <c r="E176" s="479"/>
      <c r="P176" s="25" t="s">
        <v>2340</v>
      </c>
      <c r="T176" s="25">
        <f>COUNTIFS(Table4[Status Anterior],'1. Status Resumo FY24'!$P176,Table4[Sub-âmbito],'1. Status Resumo FY24'!$G$144,Table4[Tipo de teste],"2. Campo")</f>
        <v>20</v>
      </c>
      <c r="U176" s="25">
        <f>COUNTIFS(Table4[Status Atual],'1. Status Resumo FY24'!$P176,Table4[Sub-âmbito],'1. Status Resumo FY24'!$G$144,Table4[Tipo de teste],"2. Campo")</f>
        <v>51</v>
      </c>
      <c r="V176" s="25">
        <f t="shared" si="12"/>
        <v>31</v>
      </c>
      <c r="X176" s="546"/>
      <c r="Y176" s="546"/>
      <c r="Z176" s="546"/>
      <c r="AA176" s="546"/>
      <c r="AB176" s="546"/>
      <c r="AC176" s="546"/>
      <c r="AD176" s="546"/>
      <c r="AE176" s="546"/>
      <c r="AF176" s="546"/>
      <c r="AG176" s="162"/>
      <c r="AH176" s="116"/>
    </row>
    <row r="177" spans="1:34" ht="17.850000000000001" customHeight="1">
      <c r="A177" s="116"/>
      <c r="B177" s="121"/>
      <c r="D177" s="402"/>
      <c r="E177" s="527" t="str">
        <f>+"#"&amp;$U$185</f>
        <v>#135</v>
      </c>
      <c r="P177" s="406" t="s">
        <v>2386</v>
      </c>
      <c r="Q177" s="409"/>
      <c r="R177" s="409"/>
      <c r="S177" s="409"/>
      <c r="T177" s="576">
        <f>COUNTIFS(Table4[Status Anterior],'1. Status Resumo FY24'!$P176,Table4[Sub-âmbito],'1. Status Resumo FY24'!$G$144,Table4[Tipo de teste],"2. Campo",'2. Status Detalhe Campos FY24'!$T$7:$T$731,"*Plano anterior*")</f>
        <v>0</v>
      </c>
      <c r="U177" s="576">
        <f>COUNTIFS(Table4[Status Atual],'1. Status Resumo FY24'!$P176,Table4[Sub-âmbito],'1. Status Resumo FY24'!$G$144,Table4[Tipo de teste],"2. Campo",'2. Status Detalhe Campos FY24'!$T$7:$T$731,"*Plano anterior*")</f>
        <v>1</v>
      </c>
      <c r="V177" s="576">
        <f t="shared" si="12"/>
        <v>1</v>
      </c>
      <c r="X177" s="546"/>
      <c r="Y177" s="546"/>
      <c r="Z177" s="546"/>
      <c r="AA177" s="546"/>
      <c r="AB177" s="546"/>
      <c r="AC177" s="546"/>
      <c r="AD177" s="546"/>
      <c r="AE177" s="546"/>
      <c r="AF177" s="546"/>
      <c r="AG177" s="162"/>
      <c r="AH177" s="116"/>
    </row>
    <row r="178" spans="1:34" ht="17.850000000000001" customHeight="1">
      <c r="A178" s="116"/>
      <c r="B178" s="121"/>
      <c r="D178" s="402"/>
      <c r="E178" s="527"/>
      <c r="P178" s="408" t="s">
        <v>2381</v>
      </c>
      <c r="Q178" s="409"/>
      <c r="R178" s="409"/>
      <c r="S178" s="409"/>
      <c r="T178" s="576">
        <f>COUNTIFS(Table4[Status Anterior],'1. Status Resumo FY24'!$P176,Table4[Sub-âmbito],'1. Status Resumo FY24'!$G$144,Table4[Tipo de teste],"2. Campo",'2. Status Detalhe Campos FY24'!$T$7:$T$731,"*Novo Plano*",'2. Status Detalhe Campos FY24'!$S$7:$S$731,"*Âmbito ESTR e (ou) LF*")</f>
        <v>0</v>
      </c>
      <c r="U178" s="576">
        <f>COUNTIFS(Table4[Status Atual],'1. Status Resumo FY24'!$P176,Table4[Sub-âmbito],'1. Status Resumo FY24'!$G$144,Table4[Tipo de teste],"2. Campo",'2. Status Detalhe Campos FY24'!$T$7:$T$731,"*Novo Plano*",'2. Status Detalhe Campos FY24'!$T$7:$T$731,"*Novo Plano*",'2. Status Detalhe Campos FY24'!$S$7:$S$731,"*Âmbito ESTR e (ou) LF*")</f>
        <v>14</v>
      </c>
      <c r="V178" s="576">
        <f t="shared" si="12"/>
        <v>14</v>
      </c>
      <c r="X178" s="546"/>
      <c r="Y178" s="546"/>
      <c r="Z178" s="546"/>
      <c r="AA178" s="546"/>
      <c r="AB178" s="546"/>
      <c r="AC178" s="546"/>
      <c r="AD178" s="546"/>
      <c r="AE178" s="546"/>
      <c r="AF178" s="546"/>
      <c r="AG178" s="162"/>
      <c r="AH178" s="116"/>
    </row>
    <row r="179" spans="1:34" ht="17.850000000000001" customHeight="1">
      <c r="A179" s="116"/>
      <c r="B179" s="121"/>
      <c r="D179" s="402"/>
      <c r="E179" s="527"/>
      <c r="P179" s="410" t="s">
        <v>2382</v>
      </c>
      <c r="Q179" s="411"/>
      <c r="R179" s="411"/>
      <c r="S179" s="411"/>
      <c r="T179" s="577">
        <f>COUNTIFS(Table4[Status Anterior],'1. Status Resumo FY24'!$P176,Table4[Sub-âmbito],'1. Status Resumo FY24'!$G$144,Table4[Tipo de teste],"2. Campo",'2. Status Detalhe Campos FY24'!$T$7:$T$731,"*Novo Plano*",'2. Status Detalhe Campos FY24'!$S$7:$S$731,"*Outros*")</f>
        <v>20</v>
      </c>
      <c r="U179" s="577">
        <f>COUNTIFS(Table4[Status Atual],'1. Status Resumo FY24'!$P176,Table4[Sub-âmbito],'1. Status Resumo FY24'!$G$144,Table4[Tipo de teste],"2. Campo",'2. Status Detalhe Campos FY24'!$T$7:$T$731,"*Novo Plano*",'2. Status Detalhe Campos FY24'!$T$7:$T$731,"*Novo Plano*",'2. Status Detalhe Campos FY24'!$S$7:$S$731,"*Outros*")</f>
        <v>36</v>
      </c>
      <c r="V179" s="577">
        <f t="shared" si="12"/>
        <v>16</v>
      </c>
      <c r="X179" s="546"/>
      <c r="Y179" s="546"/>
      <c r="Z179" s="546"/>
      <c r="AA179" s="546"/>
      <c r="AB179" s="546"/>
      <c r="AC179" s="546"/>
      <c r="AD179" s="546"/>
      <c r="AE179" s="546"/>
      <c r="AF179" s="546"/>
      <c r="AG179" s="162"/>
      <c r="AH179" s="116"/>
    </row>
    <row r="180" spans="1:34" ht="17.850000000000001" customHeight="1">
      <c r="A180" s="116"/>
      <c r="B180" s="121"/>
      <c r="P180" s="25" t="s">
        <v>28</v>
      </c>
      <c r="T180" s="25">
        <f>COUNTIFS(Table4[Status Anterior],'1. Status Resumo FY24'!$P180,Table4[Sub-âmbito],'1. Status Resumo FY24'!$G$144,Table4[Tipo de teste],"2. Campo")</f>
        <v>52</v>
      </c>
      <c r="U180" s="25">
        <f>COUNTIFS(Table4[Status Atual],'1. Status Resumo FY24'!$P180,Table4[Sub-âmbito],'1. Status Resumo FY24'!$G$144,Table4[Tipo de teste],"2. Campo")</f>
        <v>21</v>
      </c>
      <c r="V180" s="25">
        <f t="shared" si="12"/>
        <v>-31</v>
      </c>
      <c r="X180" s="546"/>
      <c r="Y180" s="546"/>
      <c r="Z180" s="546"/>
      <c r="AA180" s="546"/>
      <c r="AB180" s="546"/>
      <c r="AC180" s="546"/>
      <c r="AD180" s="546"/>
      <c r="AE180" s="546"/>
      <c r="AF180" s="546"/>
      <c r="AG180" s="162"/>
      <c r="AH180" s="116"/>
    </row>
    <row r="181" spans="1:34" ht="17.850000000000001" customHeight="1">
      <c r="A181" s="116"/>
      <c r="B181" s="121"/>
      <c r="P181" s="406" t="s">
        <v>2386</v>
      </c>
      <c r="Q181" s="409"/>
      <c r="R181" s="409"/>
      <c r="S181" s="409"/>
      <c r="T181" s="576">
        <f>COUNTIFS(Table4[Status Anterior],'1. Status Resumo FY24'!$P180,Table4[Sub-âmbito],'1. Status Resumo FY24'!$G$144,Table4[Tipo de teste],"2. Campo",'2. Status Detalhe Campos FY24'!$T$7:$T$731,"*Plano anterior*")</f>
        <v>1</v>
      </c>
      <c r="U181" s="576">
        <f>COUNTIFS(Table4[Status Atual],'1. Status Resumo FY24'!$P180,Table4[Sub-âmbito],'1. Status Resumo FY24'!$G$144,Table4[Tipo de teste],"2. Campo",'2. Status Detalhe Campos FY24'!$T$7:$T$731,"*Plano anterior*")</f>
        <v>0</v>
      </c>
      <c r="V181" s="576">
        <f t="shared" si="12"/>
        <v>-1</v>
      </c>
      <c r="X181" s="546"/>
      <c r="Y181" s="546"/>
      <c r="Z181" s="546"/>
      <c r="AA181" s="546"/>
      <c r="AB181" s="546"/>
      <c r="AC181" s="546"/>
      <c r="AD181" s="546"/>
      <c r="AE181" s="546"/>
      <c r="AF181" s="546"/>
      <c r="AG181" s="162"/>
      <c r="AH181" s="116"/>
    </row>
    <row r="182" spans="1:34" ht="17.850000000000001" customHeight="1">
      <c r="A182" s="116"/>
      <c r="B182" s="121"/>
      <c r="P182" s="408" t="s">
        <v>2381</v>
      </c>
      <c r="Q182" s="409"/>
      <c r="R182" s="409"/>
      <c r="S182" s="409"/>
      <c r="T182" s="576">
        <f>COUNTIFS(Table4[Status Anterior],'1. Status Resumo FY24'!$P180,Table4[Sub-âmbito],'1. Status Resumo FY24'!$G$144,Table4[Tipo de teste],"2. Campo",'2. Status Detalhe Campos FY24'!$T$7:$T$731,"*Novo Plano*",'2. Status Detalhe Campos FY24'!$S$7:$S$731,"*Âmbito ESTR e (ou) LF*")</f>
        <v>20</v>
      </c>
      <c r="U182" s="576">
        <f>COUNTIFS(Table4[Status Atual],'1. Status Resumo FY24'!$P180,Table4[Sub-âmbito],'1. Status Resumo FY24'!$G$144,Table4[Tipo de teste],"2. Campo",'2. Status Detalhe Campos FY24'!$T$7:$T$731,"*Novo Plano*",'2. Status Detalhe Campos FY24'!$T$7:$T$731,"*Novo Plano*",'2. Status Detalhe Campos FY24'!$S$7:$S$731,"*Âmbito ESTR e (ou) LF*")</f>
        <v>6</v>
      </c>
      <c r="V182" s="576">
        <f t="shared" si="12"/>
        <v>-14</v>
      </c>
      <c r="X182" s="546"/>
      <c r="Y182" s="546"/>
      <c r="Z182" s="546"/>
      <c r="AA182" s="546"/>
      <c r="AB182" s="546"/>
      <c r="AC182" s="546"/>
      <c r="AD182" s="546"/>
      <c r="AE182" s="546"/>
      <c r="AF182" s="546"/>
      <c r="AG182" s="162"/>
      <c r="AH182" s="116"/>
    </row>
    <row r="183" spans="1:34" ht="17.850000000000001" customHeight="1">
      <c r="A183" s="116"/>
      <c r="B183" s="121"/>
      <c r="P183" s="412" t="s">
        <v>2382</v>
      </c>
      <c r="Q183" s="413"/>
      <c r="R183" s="413"/>
      <c r="S183" s="413"/>
      <c r="T183" s="578">
        <f>COUNTIFS(Table4[Status Anterior],'1. Status Resumo FY24'!$P180,Table4[Sub-âmbito],'1. Status Resumo FY24'!$G$144,Table4[Tipo de teste],"2. Campo",'2. Status Detalhe Campos FY24'!$T$7:$T$731,"*Novo Plano*",'2. Status Detalhe Campos FY24'!$S$7:$S$731,"*Outros*")</f>
        <v>31</v>
      </c>
      <c r="U183" s="578">
        <f>COUNTIFS(Table4[Status Atual],'1. Status Resumo FY24'!$P180,Table4[Sub-âmbito],'1. Status Resumo FY24'!$G$144,Table4[Tipo de teste],"2. Campo",'2. Status Detalhe Campos FY24'!$T$7:$T$731,"*Novo Plano*",'2. Status Detalhe Campos FY24'!$T$7:$T$731,"*Novo Plano*",'2. Status Detalhe Campos FY24'!$S$7:$S$731,"*Outros*")</f>
        <v>15</v>
      </c>
      <c r="V183" s="578">
        <f t="shared" si="12"/>
        <v>-16</v>
      </c>
      <c r="X183" s="546"/>
      <c r="Y183" s="546"/>
      <c r="Z183" s="546"/>
      <c r="AA183" s="546"/>
      <c r="AB183" s="546"/>
      <c r="AC183" s="546"/>
      <c r="AD183" s="546"/>
      <c r="AE183" s="546"/>
      <c r="AF183" s="546"/>
      <c r="AG183" s="162"/>
      <c r="AH183" s="116"/>
    </row>
    <row r="184" spans="1:34" ht="17.850000000000001" customHeight="1">
      <c r="A184" s="116"/>
      <c r="B184" s="121"/>
      <c r="P184" s="127" t="s">
        <v>2346</v>
      </c>
      <c r="T184" s="127">
        <f t="shared" ref="T184:U187" si="13">+SUM(T148,T152,T156,T160,T164,T168,T172,T176,T180)</f>
        <v>206</v>
      </c>
      <c r="U184" s="127">
        <f t="shared" si="13"/>
        <v>206</v>
      </c>
      <c r="V184" s="127">
        <f>+U184-T184</f>
        <v>0</v>
      </c>
      <c r="X184" s="546"/>
      <c r="Y184" s="546"/>
      <c r="Z184" s="546"/>
      <c r="AA184" s="546"/>
      <c r="AB184" s="546"/>
      <c r="AC184" s="546"/>
      <c r="AD184" s="546"/>
      <c r="AE184" s="546"/>
      <c r="AF184" s="546"/>
      <c r="AG184" s="162"/>
      <c r="AH184" s="116"/>
    </row>
    <row r="185" spans="1:34" ht="17.850000000000001" customHeight="1">
      <c r="A185" s="116"/>
      <c r="B185" s="121"/>
      <c r="P185" s="414" t="s">
        <v>2386</v>
      </c>
      <c r="T185" s="579">
        <f t="shared" si="13"/>
        <v>135</v>
      </c>
      <c r="U185" s="579">
        <f t="shared" si="13"/>
        <v>135</v>
      </c>
      <c r="V185" s="579">
        <f>+U185-T185</f>
        <v>0</v>
      </c>
      <c r="X185" s="546"/>
      <c r="Y185" s="546"/>
      <c r="Z185" s="546"/>
      <c r="AA185" s="546"/>
      <c r="AB185" s="546"/>
      <c r="AC185" s="546"/>
      <c r="AD185" s="546"/>
      <c r="AE185" s="546"/>
      <c r="AF185" s="546"/>
      <c r="AG185" s="162"/>
      <c r="AH185" s="116"/>
    </row>
    <row r="186" spans="1:34" ht="17.850000000000001" customHeight="1">
      <c r="A186" s="116"/>
      <c r="B186" s="121"/>
      <c r="P186" s="414" t="s">
        <v>2381</v>
      </c>
      <c r="T186" s="579">
        <f t="shared" si="13"/>
        <v>20</v>
      </c>
      <c r="U186" s="579">
        <f t="shared" si="13"/>
        <v>20</v>
      </c>
      <c r="V186" s="579">
        <f>+U186-T186</f>
        <v>0</v>
      </c>
      <c r="X186" s="546"/>
      <c r="Y186" s="546"/>
      <c r="Z186" s="546"/>
      <c r="AA186" s="546"/>
      <c r="AB186" s="546"/>
      <c r="AC186" s="546"/>
      <c r="AD186" s="546"/>
      <c r="AE186" s="546"/>
      <c r="AF186" s="546"/>
      <c r="AG186" s="162"/>
      <c r="AH186" s="116"/>
    </row>
    <row r="187" spans="1:34" ht="17.850000000000001" customHeight="1">
      <c r="A187" s="116"/>
      <c r="B187" s="121"/>
      <c r="P187" s="415" t="s">
        <v>2382</v>
      </c>
      <c r="Q187" s="130"/>
      <c r="R187" s="130"/>
      <c r="S187" s="130"/>
      <c r="T187" s="580">
        <f t="shared" si="13"/>
        <v>51</v>
      </c>
      <c r="U187" s="580">
        <f t="shared" si="13"/>
        <v>51</v>
      </c>
      <c r="V187" s="580">
        <f>+U187-T187</f>
        <v>0</v>
      </c>
      <c r="X187" s="546"/>
      <c r="Y187" s="546"/>
      <c r="Z187" s="546"/>
      <c r="AA187" s="546"/>
      <c r="AB187" s="546"/>
      <c r="AC187" s="546"/>
      <c r="AD187" s="546"/>
      <c r="AE187" s="546"/>
      <c r="AF187" s="546"/>
      <c r="AG187" s="162"/>
      <c r="AH187" s="116"/>
    </row>
    <row r="188" spans="1:34">
      <c r="A188" s="116"/>
      <c r="B188" s="121"/>
      <c r="T188" s="127"/>
      <c r="U188" s="127"/>
      <c r="X188" s="546"/>
      <c r="Y188" s="546"/>
      <c r="Z188" s="546"/>
      <c r="AA188" s="546"/>
      <c r="AB188" s="546"/>
      <c r="AC188" s="546"/>
      <c r="AD188" s="546"/>
      <c r="AE188" s="546"/>
      <c r="AF188" s="546"/>
      <c r="AG188" s="162"/>
      <c r="AH188" s="116"/>
    </row>
    <row r="189" spans="1:34">
      <c r="A189" s="116"/>
      <c r="B189" s="121"/>
      <c r="P189" s="129" t="s">
        <v>617</v>
      </c>
      <c r="Q189" s="130"/>
      <c r="R189" s="130"/>
      <c r="S189" s="130"/>
      <c r="T189" s="130"/>
      <c r="U189" s="130"/>
      <c r="V189" s="130"/>
      <c r="X189" s="546"/>
      <c r="Y189" s="546"/>
      <c r="Z189" s="546"/>
      <c r="AA189" s="546"/>
      <c r="AB189" s="546"/>
      <c r="AC189" s="546"/>
      <c r="AD189" s="546"/>
      <c r="AE189" s="546"/>
      <c r="AF189" s="546"/>
      <c r="AG189" s="162"/>
      <c r="AH189" s="116"/>
    </row>
    <row r="190" spans="1:34">
      <c r="A190" s="116"/>
      <c r="B190" s="121"/>
      <c r="O190" s="159" t="s">
        <v>619</v>
      </c>
      <c r="P190" s="25" t="s">
        <v>379</v>
      </c>
      <c r="T190" s="203" t="s">
        <v>1848</v>
      </c>
      <c r="X190" s="546"/>
      <c r="Y190" s="546"/>
      <c r="Z190" s="546"/>
      <c r="AA190" s="546"/>
      <c r="AB190" s="546"/>
      <c r="AC190" s="546"/>
      <c r="AD190" s="546"/>
      <c r="AE190" s="546"/>
      <c r="AF190" s="546"/>
      <c r="AG190" s="162"/>
      <c r="AH190" s="116"/>
    </row>
    <row r="191" spans="1:34">
      <c r="A191" s="116"/>
      <c r="B191" s="121"/>
      <c r="O191" s="159" t="s">
        <v>619</v>
      </c>
      <c r="P191" s="25" t="s">
        <v>335</v>
      </c>
      <c r="T191" s="203" t="s">
        <v>1848</v>
      </c>
      <c r="X191" s="546"/>
      <c r="Y191" s="546"/>
      <c r="Z191" s="546"/>
      <c r="AA191" s="546"/>
      <c r="AB191" s="546"/>
      <c r="AC191" s="546"/>
      <c r="AD191" s="546"/>
      <c r="AE191" s="546"/>
      <c r="AF191" s="546"/>
      <c r="AG191" s="162"/>
      <c r="AH191" s="116"/>
    </row>
    <row r="192" spans="1:34">
      <c r="A192" s="116"/>
      <c r="B192" s="121"/>
      <c r="O192" s="159" t="s">
        <v>619</v>
      </c>
      <c r="P192" s="25" t="s">
        <v>368</v>
      </c>
      <c r="T192" s="203" t="s">
        <v>1848</v>
      </c>
      <c r="X192" s="546"/>
      <c r="Y192" s="546"/>
      <c r="Z192" s="546"/>
      <c r="AA192" s="546"/>
      <c r="AB192" s="546"/>
      <c r="AC192" s="546"/>
      <c r="AD192" s="546"/>
      <c r="AE192" s="546"/>
      <c r="AF192" s="546"/>
      <c r="AG192" s="162"/>
      <c r="AH192" s="116"/>
    </row>
    <row r="193" spans="1:34">
      <c r="A193" s="116"/>
      <c r="B193" s="121"/>
      <c r="O193" s="159" t="s">
        <v>619</v>
      </c>
      <c r="P193" s="25" t="s">
        <v>439</v>
      </c>
      <c r="T193" s="161" t="s">
        <v>621</v>
      </c>
      <c r="X193" s="546"/>
      <c r="Y193" s="546"/>
      <c r="Z193" s="546"/>
      <c r="AA193" s="546"/>
      <c r="AB193" s="546"/>
      <c r="AC193" s="546"/>
      <c r="AD193" s="546"/>
      <c r="AE193" s="546"/>
      <c r="AF193" s="546"/>
      <c r="AG193" s="162"/>
      <c r="AH193" s="116"/>
    </row>
    <row r="194" spans="1:34">
      <c r="A194" s="116"/>
      <c r="B194" s="121"/>
      <c r="O194" s="159" t="s">
        <v>619</v>
      </c>
      <c r="P194" s="25" t="s">
        <v>441</v>
      </c>
      <c r="T194" s="203" t="s">
        <v>1848</v>
      </c>
      <c r="X194" s="546"/>
      <c r="Y194" s="546"/>
      <c r="Z194" s="546"/>
      <c r="AA194" s="546"/>
      <c r="AB194" s="546"/>
      <c r="AC194" s="546"/>
      <c r="AD194" s="546"/>
      <c r="AE194" s="546"/>
      <c r="AF194" s="546"/>
      <c r="AG194" s="162"/>
      <c r="AH194" s="116"/>
    </row>
    <row r="195" spans="1:34">
      <c r="A195" s="116"/>
      <c r="B195" s="121"/>
      <c r="O195" s="159" t="s">
        <v>619</v>
      </c>
      <c r="P195" s="25" t="s">
        <v>1867</v>
      </c>
      <c r="T195" s="203" t="s">
        <v>1848</v>
      </c>
      <c r="X195" s="546"/>
      <c r="Y195" s="546"/>
      <c r="Z195" s="546"/>
      <c r="AA195" s="546"/>
      <c r="AB195" s="546"/>
      <c r="AC195" s="546"/>
      <c r="AD195" s="546"/>
      <c r="AE195" s="546"/>
      <c r="AF195" s="546"/>
      <c r="AG195" s="162"/>
      <c r="AH195" s="116"/>
    </row>
    <row r="196" spans="1:34">
      <c r="A196" s="116"/>
      <c r="B196" s="121"/>
      <c r="O196" s="159" t="s">
        <v>619</v>
      </c>
      <c r="P196" s="25" t="s">
        <v>1868</v>
      </c>
      <c r="T196" s="161" t="s">
        <v>621</v>
      </c>
      <c r="X196" s="546"/>
      <c r="Y196" s="546"/>
      <c r="Z196" s="546"/>
      <c r="AA196" s="546"/>
      <c r="AB196" s="546"/>
      <c r="AC196" s="546"/>
      <c r="AD196" s="546"/>
      <c r="AE196" s="546"/>
      <c r="AF196" s="546"/>
      <c r="AG196" s="162"/>
      <c r="AH196" s="116"/>
    </row>
    <row r="197" spans="1:34">
      <c r="A197" s="116"/>
      <c r="B197" s="121"/>
      <c r="O197" s="159" t="s">
        <v>619</v>
      </c>
      <c r="P197" s="25" t="s">
        <v>392</v>
      </c>
      <c r="T197" s="161" t="s">
        <v>621</v>
      </c>
      <c r="X197" s="546"/>
      <c r="Y197" s="546"/>
      <c r="Z197" s="546"/>
      <c r="AA197" s="546"/>
      <c r="AB197" s="546"/>
      <c r="AC197" s="546"/>
      <c r="AD197" s="546"/>
      <c r="AE197" s="546"/>
      <c r="AF197" s="546"/>
      <c r="AG197" s="162"/>
      <c r="AH197" s="116"/>
    </row>
    <row r="198" spans="1:34">
      <c r="A198" s="116"/>
      <c r="B198" s="121"/>
      <c r="O198" s="159"/>
      <c r="T198" s="161"/>
      <c r="X198" s="546"/>
      <c r="Y198" s="546"/>
      <c r="Z198" s="546"/>
      <c r="AA198" s="546"/>
      <c r="AB198" s="546"/>
      <c r="AC198" s="546"/>
      <c r="AD198" s="546"/>
      <c r="AE198" s="546"/>
      <c r="AF198" s="546"/>
      <c r="AG198" s="162"/>
      <c r="AH198" s="116"/>
    </row>
    <row r="199" spans="1:34">
      <c r="A199" s="116"/>
      <c r="B199" s="121"/>
      <c r="O199" s="159"/>
      <c r="T199" s="161"/>
      <c r="X199" s="546"/>
      <c r="Y199" s="546"/>
      <c r="Z199" s="546"/>
      <c r="AA199" s="546"/>
      <c r="AB199" s="546"/>
      <c r="AC199" s="546"/>
      <c r="AD199" s="546"/>
      <c r="AE199" s="546"/>
      <c r="AF199" s="546"/>
      <c r="AG199" s="162"/>
      <c r="AH199" s="116"/>
    </row>
    <row r="200" spans="1:34">
      <c r="A200" s="116"/>
      <c r="B200" s="121"/>
      <c r="O200" s="159"/>
      <c r="T200" s="161"/>
      <c r="X200" s="546"/>
      <c r="Y200" s="546"/>
      <c r="Z200" s="546"/>
      <c r="AA200" s="546"/>
      <c r="AB200" s="546"/>
      <c r="AC200" s="546"/>
      <c r="AD200" s="546"/>
      <c r="AE200" s="546"/>
      <c r="AF200" s="546"/>
      <c r="AG200" s="162"/>
      <c r="AH200" s="116"/>
    </row>
    <row r="201" spans="1:34">
      <c r="A201" s="116"/>
      <c r="B201" s="121"/>
      <c r="X201" s="546"/>
      <c r="Y201" s="546"/>
      <c r="Z201" s="546"/>
      <c r="AA201" s="546"/>
      <c r="AB201" s="546"/>
      <c r="AC201" s="546"/>
      <c r="AD201" s="546"/>
      <c r="AE201" s="546"/>
      <c r="AF201" s="546"/>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1830</v>
      </c>
    </row>
    <row r="3" spans="2:10" ht="17.399999999999999">
      <c r="B3" s="16" t="s">
        <v>1831</v>
      </c>
      <c r="D3" t="s">
        <v>1158</v>
      </c>
    </row>
    <row r="4" spans="2:10" ht="17.399999999999999">
      <c r="B4" s="52" t="s">
        <v>1832</v>
      </c>
      <c r="C4" s="52" t="s">
        <v>1833</v>
      </c>
      <c r="D4" s="51" t="s">
        <v>1179</v>
      </c>
      <c r="E4" s="51" t="s">
        <v>1180</v>
      </c>
      <c r="F4" s="51" t="s">
        <v>1171</v>
      </c>
      <c r="H4" s="30" t="s">
        <v>1179</v>
      </c>
      <c r="I4" s="30" t="s">
        <v>1180</v>
      </c>
      <c r="J4" s="30" t="s">
        <v>1171</v>
      </c>
    </row>
    <row r="5" spans="2:10" ht="34.799999999999997">
      <c r="B5" s="2" t="s">
        <v>1169</v>
      </c>
      <c r="C5" s="4" t="s">
        <v>1834</v>
      </c>
      <c r="D5">
        <v>8</v>
      </c>
      <c r="E5">
        <v>8</v>
      </c>
      <c r="F5">
        <v>8</v>
      </c>
      <c r="H5" s="30">
        <v>1</v>
      </c>
      <c r="I5" s="30">
        <v>3</v>
      </c>
      <c r="J5" s="30">
        <v>8</v>
      </c>
    </row>
    <row r="6" spans="2:10" ht="34.799999999999997">
      <c r="B6" s="2" t="s">
        <v>1172</v>
      </c>
      <c r="C6" s="4" t="s">
        <v>1835</v>
      </c>
      <c r="D6">
        <v>2</v>
      </c>
      <c r="E6">
        <v>4</v>
      </c>
      <c r="F6">
        <v>8</v>
      </c>
      <c r="H6" s="30">
        <v>1</v>
      </c>
      <c r="I6" s="30">
        <v>3</v>
      </c>
      <c r="J6" s="30">
        <v>4</v>
      </c>
    </row>
    <row r="7" spans="2:10" ht="17.399999999999999">
      <c r="B7" s="2" t="s">
        <v>1173</v>
      </c>
      <c r="C7" s="4" t="s">
        <v>1836</v>
      </c>
      <c r="D7">
        <v>2</v>
      </c>
      <c r="E7">
        <v>4</v>
      </c>
      <c r="F7">
        <v>8</v>
      </c>
      <c r="H7" s="30">
        <v>1</v>
      </c>
      <c r="I7" s="30">
        <v>1</v>
      </c>
      <c r="J7" s="30">
        <v>2</v>
      </c>
    </row>
    <row r="8" spans="2:10" ht="17.399999999999999">
      <c r="B8" s="27" t="s">
        <v>1174</v>
      </c>
      <c r="C8" s="4" t="s">
        <v>1837</v>
      </c>
      <c r="D8">
        <v>2</v>
      </c>
      <c r="E8">
        <v>4</v>
      </c>
      <c r="F8">
        <v>8</v>
      </c>
      <c r="H8" s="30">
        <v>2</v>
      </c>
      <c r="I8" s="30">
        <v>4</v>
      </c>
      <c r="J8" s="30">
        <v>4</v>
      </c>
    </row>
    <row r="9" spans="2:10" ht="17.399999999999999">
      <c r="B9" s="28" t="s">
        <v>1177</v>
      </c>
      <c r="C9" s="4" t="s">
        <v>1838</v>
      </c>
      <c r="D9">
        <v>1</v>
      </c>
      <c r="E9">
        <v>1</v>
      </c>
      <c r="F9">
        <v>1</v>
      </c>
      <c r="H9" s="30"/>
      <c r="I9" s="30"/>
      <c r="J9" s="30"/>
    </row>
    <row r="10" spans="2:10" ht="52.2">
      <c r="B10" s="2" t="s">
        <v>1175</v>
      </c>
      <c r="C10" s="4" t="s">
        <v>1839</v>
      </c>
      <c r="D10">
        <v>0.1</v>
      </c>
      <c r="E10">
        <v>0.1</v>
      </c>
      <c r="F10">
        <v>0.1</v>
      </c>
      <c r="H10" s="30">
        <v>0.1</v>
      </c>
      <c r="I10" s="30">
        <v>0.5</v>
      </c>
      <c r="J10" s="30">
        <v>0.5</v>
      </c>
    </row>
    <row r="11" spans="2:10" ht="17.399999999999999">
      <c r="B11" s="28" t="s">
        <v>1176</v>
      </c>
      <c r="C11" s="4" t="s">
        <v>1840</v>
      </c>
      <c r="D11">
        <v>1</v>
      </c>
      <c r="E11">
        <v>2</v>
      </c>
      <c r="F11">
        <v>2</v>
      </c>
      <c r="H11" s="30"/>
      <c r="I11" s="30"/>
      <c r="J11" s="30"/>
    </row>
    <row r="12" spans="2:10" ht="17.399999999999999">
      <c r="B12" s="28" t="s">
        <v>1216</v>
      </c>
      <c r="C12" s="4" t="s">
        <v>1841</v>
      </c>
      <c r="D12">
        <v>0.5</v>
      </c>
      <c r="E12">
        <v>0.5</v>
      </c>
      <c r="F12">
        <v>0.5</v>
      </c>
      <c r="H12" s="30">
        <v>0.5</v>
      </c>
      <c r="I12" s="30">
        <v>0.5</v>
      </c>
      <c r="J12" s="30">
        <v>0.5</v>
      </c>
    </row>
    <row r="13" spans="2:10" ht="34.799999999999997">
      <c r="B13" s="33" t="s">
        <v>1183</v>
      </c>
      <c r="C13" s="4" t="s">
        <v>1842</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1843</v>
      </c>
      <c r="B17" s="17" t="s">
        <v>613</v>
      </c>
      <c r="C17">
        <v>4</v>
      </c>
      <c r="D17" s="95">
        <v>0.25</v>
      </c>
      <c r="E17" s="95">
        <v>0</v>
      </c>
    </row>
    <row r="18" spans="1:5" ht="17.399999999999999">
      <c r="B18" s="23" t="s">
        <v>28</v>
      </c>
      <c r="C18">
        <v>8</v>
      </c>
      <c r="D18" s="95">
        <v>0</v>
      </c>
      <c r="E18" s="95">
        <v>0</v>
      </c>
    </row>
    <row r="19" spans="1:5" ht="17.399999999999999">
      <c r="B19" s="1" t="s">
        <v>1847</v>
      </c>
      <c r="C19">
        <f>_xlfn.NUMBERVALUE(LEFT(B19,1))</f>
        <v>2</v>
      </c>
      <c r="D19" s="95">
        <v>0.5</v>
      </c>
      <c r="E19" s="95">
        <v>0.25</v>
      </c>
    </row>
    <row r="20" spans="1:5" ht="17.399999999999999">
      <c r="B20" s="1" t="s">
        <v>2339</v>
      </c>
      <c r="C20">
        <v>3</v>
      </c>
      <c r="D20" s="95">
        <v>0.5</v>
      </c>
      <c r="E20" s="95">
        <v>0</v>
      </c>
    </row>
    <row r="21" spans="1:5" ht="17.399999999999999">
      <c r="A21" t="s">
        <v>1844</v>
      </c>
      <c r="B21" s="24" t="s">
        <v>614</v>
      </c>
      <c r="C21">
        <v>5</v>
      </c>
      <c r="D21" s="95">
        <v>0.25</v>
      </c>
      <c r="E21" s="95">
        <v>0.25</v>
      </c>
    </row>
    <row r="22" spans="1:5" ht="17.399999999999999">
      <c r="A22" t="s">
        <v>1845</v>
      </c>
      <c r="B22" s="18" t="s">
        <v>615</v>
      </c>
      <c r="C22">
        <v>6</v>
      </c>
      <c r="D22" s="95">
        <v>0.25</v>
      </c>
      <c r="E22" s="95">
        <v>0</v>
      </c>
    </row>
    <row r="23" spans="1:5" ht="17.399999999999999">
      <c r="A23" t="s">
        <v>1845</v>
      </c>
      <c r="B23" s="18" t="s">
        <v>2340</v>
      </c>
      <c r="C23">
        <v>7</v>
      </c>
      <c r="D23" s="95">
        <v>0.25</v>
      </c>
      <c r="E23" s="95">
        <v>0</v>
      </c>
    </row>
    <row r="24" spans="1:5" ht="17.399999999999999">
      <c r="A24" t="s">
        <v>1846</v>
      </c>
      <c r="B24" s="1" t="s">
        <v>611</v>
      </c>
      <c r="C24">
        <f>_xlfn.NUMBERVALUE(LEFT(B24,1))</f>
        <v>0</v>
      </c>
      <c r="D24" s="95">
        <v>0</v>
      </c>
      <c r="E24" s="95">
        <v>0</v>
      </c>
    </row>
  </sheetData>
  <conditionalFormatting sqref="B16:B24">
    <cfRule type="cellIs" dxfId="47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3.8"/>
  <cols>
    <col min="1" max="1" width="3.59765625" customWidth="1"/>
    <col min="2" max="2" width="20" customWidth="1"/>
    <col min="3" max="3" width="20.19921875" customWidth="1"/>
    <col min="4" max="4" width="12.19921875" customWidth="1"/>
    <col min="5" max="5" width="12.3984375" customWidth="1"/>
    <col min="6" max="6" width="38.69921875" customWidth="1"/>
    <col min="7" max="7" width="15.19921875" customWidth="1"/>
    <col min="8" max="8" width="12.5" customWidth="1"/>
    <col min="9" max="9" width="21.69921875" customWidth="1"/>
    <col min="10" max="10" width="20.19921875" customWidth="1"/>
    <col min="11" max="11" width="11.69921875" customWidth="1"/>
    <col min="12" max="12" width="10.898437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11" ht="22.2">
      <c r="B2" s="126" t="s">
        <v>1938</v>
      </c>
    </row>
    <row r="3" spans="2:11" ht="17.399999999999999" customHeight="1">
      <c r="B3" s="334"/>
    </row>
    <row r="6" spans="2:11" ht="18" customHeight="1">
      <c r="B6" s="49" t="s">
        <v>8</v>
      </c>
      <c r="C6" t="s">
        <v>26</v>
      </c>
    </row>
    <row r="7" spans="2:11">
      <c r="B7" s="49" t="s">
        <v>10</v>
      </c>
      <c r="C7" t="s">
        <v>40</v>
      </c>
    </row>
    <row r="9" spans="2:11">
      <c r="C9" s="49" t="s">
        <v>1151</v>
      </c>
    </row>
    <row r="10" spans="2:11">
      <c r="C10" t="s">
        <v>611</v>
      </c>
      <c r="D10" t="s">
        <v>612</v>
      </c>
      <c r="E10" t="s">
        <v>1847</v>
      </c>
      <c r="F10" t="s">
        <v>613</v>
      </c>
      <c r="G10" t="s">
        <v>614</v>
      </c>
      <c r="H10" t="s">
        <v>28</v>
      </c>
      <c r="I10" t="s">
        <v>2340</v>
      </c>
      <c r="J10" t="s">
        <v>2339</v>
      </c>
      <c r="K10" t="s">
        <v>1148</v>
      </c>
    </row>
    <row r="11" spans="2:11">
      <c r="B11" t="s">
        <v>1150</v>
      </c>
      <c r="C11" s="323">
        <v>32</v>
      </c>
      <c r="D11" s="323">
        <v>444</v>
      </c>
      <c r="E11" s="323">
        <v>26</v>
      </c>
      <c r="F11" s="323">
        <v>10</v>
      </c>
      <c r="G11" s="323">
        <v>2</v>
      </c>
      <c r="H11" s="323">
        <v>21</v>
      </c>
      <c r="I11" s="323">
        <v>113</v>
      </c>
      <c r="J11" s="323">
        <v>58</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32</v>
      </c>
    </row>
    <row r="25" spans="2:10">
      <c r="B25" s="50" t="s">
        <v>612</v>
      </c>
      <c r="C25" s="323">
        <v>444</v>
      </c>
    </row>
    <row r="26" spans="2:10">
      <c r="B26" s="50" t="s">
        <v>1847</v>
      </c>
      <c r="C26" s="323">
        <v>26</v>
      </c>
    </row>
    <row r="27" spans="2:10">
      <c r="B27" s="50" t="s">
        <v>613</v>
      </c>
      <c r="C27" s="323">
        <v>10</v>
      </c>
    </row>
    <row r="28" spans="2:10">
      <c r="B28" s="50" t="s">
        <v>614</v>
      </c>
      <c r="C28" s="323">
        <v>2</v>
      </c>
    </row>
    <row r="29" spans="2:10">
      <c r="B29" s="50" t="s">
        <v>28</v>
      </c>
      <c r="C29" s="323">
        <v>21</v>
      </c>
    </row>
    <row r="30" spans="2:10">
      <c r="B30" s="50" t="s">
        <v>2340</v>
      </c>
      <c r="C30" s="323">
        <v>113</v>
      </c>
    </row>
    <row r="31" spans="2:10">
      <c r="B31" s="50" t="s">
        <v>2339</v>
      </c>
      <c r="C31" s="323">
        <v>58</v>
      </c>
    </row>
    <row r="32" spans="2:10">
      <c r="B32" s="50" t="s">
        <v>1148</v>
      </c>
      <c r="C32" s="323">
        <v>706</v>
      </c>
    </row>
    <row r="40" spans="2:12">
      <c r="B40" s="333"/>
      <c r="C40" s="333"/>
      <c r="D40" s="333"/>
    </row>
    <row r="41" spans="2:12">
      <c r="B41" s="333"/>
      <c r="C41" s="333"/>
      <c r="D41" s="333"/>
    </row>
    <row r="42" spans="2:12" ht="22.2">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6">
      <c r="B49" s="49" t="s">
        <v>1150</v>
      </c>
      <c r="C49" s="49" t="s">
        <v>1151</v>
      </c>
    </row>
    <row r="50" spans="2:6">
      <c r="B50" s="49" t="s">
        <v>1152</v>
      </c>
      <c r="C50" t="s">
        <v>611</v>
      </c>
      <c r="D50" t="s">
        <v>612</v>
      </c>
      <c r="E50" t="s">
        <v>2344</v>
      </c>
      <c r="F50" t="s">
        <v>1148</v>
      </c>
    </row>
    <row r="51" spans="2:6">
      <c r="B51" s="50" t="s">
        <v>74</v>
      </c>
      <c r="C51" s="323">
        <v>3</v>
      </c>
      <c r="D51" s="323">
        <v>17</v>
      </c>
      <c r="E51" s="323"/>
      <c r="F51" s="323">
        <v>20</v>
      </c>
    </row>
    <row r="52" spans="2:6">
      <c r="B52" s="50" t="s">
        <v>123</v>
      </c>
      <c r="C52" s="323"/>
      <c r="D52" s="323">
        <v>69</v>
      </c>
      <c r="E52" s="323">
        <v>4</v>
      </c>
      <c r="F52" s="323">
        <v>73</v>
      </c>
    </row>
    <row r="53" spans="2:6">
      <c r="B53" s="50" t="s">
        <v>94</v>
      </c>
      <c r="C53" s="323">
        <v>2</v>
      </c>
      <c r="D53" s="323">
        <v>31</v>
      </c>
      <c r="E53" s="323"/>
      <c r="F53" s="323">
        <v>33</v>
      </c>
    </row>
    <row r="54" spans="2:6">
      <c r="B54" s="50" t="s">
        <v>88</v>
      </c>
      <c r="C54" s="323">
        <v>1</v>
      </c>
      <c r="D54" s="323">
        <v>14</v>
      </c>
      <c r="E54" s="323"/>
      <c r="F54" s="323">
        <v>15</v>
      </c>
    </row>
    <row r="55" spans="2:6">
      <c r="B55" s="50" t="s">
        <v>55</v>
      </c>
      <c r="C55" s="323">
        <v>4</v>
      </c>
      <c r="D55" s="323">
        <v>13</v>
      </c>
      <c r="E55" s="323"/>
      <c r="F55" s="323">
        <v>17</v>
      </c>
    </row>
    <row r="56" spans="2:6">
      <c r="B56" s="50" t="s">
        <v>37</v>
      </c>
      <c r="C56" s="323">
        <v>2</v>
      </c>
      <c r="D56" s="323"/>
      <c r="E56" s="323">
        <v>44</v>
      </c>
      <c r="F56" s="323">
        <v>46</v>
      </c>
    </row>
    <row r="57" spans="2:6">
      <c r="B57" s="50" t="s">
        <v>1148</v>
      </c>
      <c r="C57" s="323">
        <v>12</v>
      </c>
      <c r="D57" s="323">
        <v>144</v>
      </c>
      <c r="E57" s="323">
        <v>48</v>
      </c>
      <c r="F57" s="323">
        <v>204</v>
      </c>
    </row>
    <row r="62" spans="2:6">
      <c r="B62" s="49" t="s">
        <v>8</v>
      </c>
      <c r="C62" t="s" vm="1">
        <v>26</v>
      </c>
    </row>
    <row r="63" spans="2:6">
      <c r="B63" s="49" t="s">
        <v>9</v>
      </c>
      <c r="C63" t="s" vm="2">
        <v>1149</v>
      </c>
    </row>
    <row r="64" spans="2:6">
      <c r="B64" s="49" t="s">
        <v>10</v>
      </c>
      <c r="C64" t="s" vm="3">
        <v>40</v>
      </c>
    </row>
    <row r="66" spans="2:3">
      <c r="B66" s="49" t="s">
        <v>1152</v>
      </c>
      <c r="C66" t="s">
        <v>1150</v>
      </c>
    </row>
    <row r="67" spans="2:3">
      <c r="B67" s="50" t="s">
        <v>611</v>
      </c>
      <c r="C67" s="323">
        <v>12</v>
      </c>
    </row>
    <row r="68" spans="2:3">
      <c r="B68" s="50" t="s">
        <v>612</v>
      </c>
      <c r="C68" s="323">
        <v>144</v>
      </c>
    </row>
    <row r="69" spans="2:3">
      <c r="B69" s="50" t="s">
        <v>2344</v>
      </c>
      <c r="C69" s="323">
        <v>48</v>
      </c>
    </row>
    <row r="70" spans="2:3">
      <c r="B70" s="50" t="s">
        <v>1148</v>
      </c>
      <c r="C70" s="323">
        <v>204</v>
      </c>
    </row>
    <row r="81" spans="2:16" ht="22.2">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1847</v>
      </c>
      <c r="F88" t="s">
        <v>2339</v>
      </c>
      <c r="G88" t="s">
        <v>2344</v>
      </c>
      <c r="H88" t="s">
        <v>1148</v>
      </c>
    </row>
    <row r="89" spans="2:16">
      <c r="B89" s="50" t="s">
        <v>2107</v>
      </c>
      <c r="C89" s="323">
        <v>4</v>
      </c>
      <c r="D89" s="323"/>
      <c r="E89" s="323"/>
      <c r="F89" s="323">
        <v>42</v>
      </c>
      <c r="G89" s="323"/>
      <c r="H89" s="323">
        <v>46</v>
      </c>
    </row>
    <row r="90" spans="2:16">
      <c r="B90" s="50" t="s">
        <v>2090</v>
      </c>
      <c r="C90" s="323">
        <v>1</v>
      </c>
      <c r="D90" s="323">
        <v>1</v>
      </c>
      <c r="E90" s="323"/>
      <c r="F90" s="323">
        <v>13</v>
      </c>
      <c r="G90" s="323"/>
      <c r="H90" s="323">
        <v>15</v>
      </c>
    </row>
    <row r="91" spans="2:16">
      <c r="B91" s="50" t="s">
        <v>331</v>
      </c>
      <c r="C91" s="323"/>
      <c r="D91" s="323">
        <v>15</v>
      </c>
      <c r="E91" s="323"/>
      <c r="F91" s="323"/>
      <c r="G91" s="323"/>
      <c r="H91" s="323">
        <v>15</v>
      </c>
    </row>
    <row r="92" spans="2:16">
      <c r="B92" s="50" t="s">
        <v>325</v>
      </c>
      <c r="C92" s="323"/>
      <c r="D92" s="323">
        <v>21</v>
      </c>
      <c r="E92" s="323">
        <v>26</v>
      </c>
      <c r="F92" s="323"/>
      <c r="G92" s="323">
        <v>5</v>
      </c>
      <c r="H92" s="323">
        <v>52</v>
      </c>
    </row>
    <row r="93" spans="2:16">
      <c r="B93" s="50" t="s">
        <v>311</v>
      </c>
      <c r="C93" s="323"/>
      <c r="D93" s="323">
        <v>14</v>
      </c>
      <c r="E93" s="323"/>
      <c r="F93" s="323"/>
      <c r="G93" s="323">
        <v>4</v>
      </c>
      <c r="H93" s="323">
        <v>18</v>
      </c>
    </row>
    <row r="94" spans="2:16">
      <c r="B94" s="50" t="s">
        <v>2171</v>
      </c>
      <c r="C94" s="323"/>
      <c r="D94" s="323"/>
      <c r="E94" s="323"/>
      <c r="F94" s="323"/>
      <c r="G94" s="323">
        <v>5</v>
      </c>
      <c r="H94" s="323">
        <v>5</v>
      </c>
    </row>
    <row r="95" spans="2:16">
      <c r="B95" s="50" t="s">
        <v>216</v>
      </c>
      <c r="C95" s="323"/>
      <c r="D95" s="323">
        <v>6</v>
      </c>
      <c r="E95" s="323"/>
      <c r="F95" s="323"/>
      <c r="G95" s="323"/>
      <c r="H95" s="323">
        <v>6</v>
      </c>
    </row>
    <row r="96" spans="2:16">
      <c r="B96" s="50" t="s">
        <v>2071</v>
      </c>
      <c r="C96" s="323"/>
      <c r="D96" s="323">
        <v>9</v>
      </c>
      <c r="E96" s="323"/>
      <c r="F96" s="323"/>
      <c r="G96" s="323"/>
      <c r="H96" s="323">
        <v>9</v>
      </c>
    </row>
    <row r="97" spans="2:8">
      <c r="B97" s="50" t="s">
        <v>215</v>
      </c>
      <c r="C97" s="323"/>
      <c r="D97" s="323">
        <v>41</v>
      </c>
      <c r="E97" s="323"/>
      <c r="F97" s="323"/>
      <c r="G97" s="323"/>
      <c r="H97" s="323">
        <v>41</v>
      </c>
    </row>
    <row r="98" spans="2:8">
      <c r="B98" s="50" t="s">
        <v>213</v>
      </c>
      <c r="C98" s="323">
        <v>3</v>
      </c>
      <c r="D98" s="323">
        <v>6</v>
      </c>
      <c r="E98" s="323"/>
      <c r="F98" s="323"/>
      <c r="G98" s="323"/>
      <c r="H98" s="323">
        <v>9</v>
      </c>
    </row>
    <row r="99" spans="2:8">
      <c r="B99" s="50" t="s">
        <v>212</v>
      </c>
      <c r="C99" s="323"/>
      <c r="D99" s="323">
        <v>17</v>
      </c>
      <c r="E99" s="323"/>
      <c r="F99" s="323"/>
      <c r="G99" s="323"/>
      <c r="H99" s="323">
        <v>17</v>
      </c>
    </row>
    <row r="100" spans="2:8">
      <c r="B100" s="50" t="s">
        <v>217</v>
      </c>
      <c r="C100" s="323"/>
      <c r="D100" s="323">
        <v>17</v>
      </c>
      <c r="E100" s="323"/>
      <c r="F100" s="323"/>
      <c r="G100" s="323"/>
      <c r="H100" s="323">
        <v>17</v>
      </c>
    </row>
    <row r="101" spans="2:8">
      <c r="B101" s="50" t="s">
        <v>218</v>
      </c>
      <c r="C101" s="323">
        <v>7</v>
      </c>
      <c r="D101" s="323">
        <v>14</v>
      </c>
      <c r="E101" s="323"/>
      <c r="F101" s="323"/>
      <c r="G101" s="323"/>
      <c r="H101" s="323">
        <v>21</v>
      </c>
    </row>
    <row r="102" spans="2:8">
      <c r="B102" s="50" t="s">
        <v>219</v>
      </c>
      <c r="C102" s="323">
        <v>1</v>
      </c>
      <c r="D102" s="323">
        <v>17</v>
      </c>
      <c r="E102" s="323"/>
      <c r="F102" s="323"/>
      <c r="G102" s="323"/>
      <c r="H102" s="323">
        <v>18</v>
      </c>
    </row>
    <row r="103" spans="2:8">
      <c r="B103" s="50" t="s">
        <v>214</v>
      </c>
      <c r="C103" s="323"/>
      <c r="D103" s="323">
        <v>7</v>
      </c>
      <c r="E103" s="323"/>
      <c r="F103" s="323"/>
      <c r="G103" s="323"/>
      <c r="H103" s="323">
        <v>7</v>
      </c>
    </row>
    <row r="104" spans="2:8">
      <c r="B104" s="50" t="s">
        <v>1148</v>
      </c>
      <c r="C104" s="323">
        <v>16</v>
      </c>
      <c r="D104" s="323">
        <v>185</v>
      </c>
      <c r="E104" s="323">
        <v>26</v>
      </c>
      <c r="F104" s="323">
        <v>55</v>
      </c>
      <c r="G104" s="323">
        <v>14</v>
      </c>
      <c r="H104" s="323">
        <v>296</v>
      </c>
    </row>
    <row r="107" spans="2:8">
      <c r="B107" s="49" t="s">
        <v>8</v>
      </c>
      <c r="C107" t="s" vm="6">
        <v>2391</v>
      </c>
    </row>
    <row r="108" spans="2:8">
      <c r="B108" s="49" t="s">
        <v>9</v>
      </c>
      <c r="C108" t="s" vm="5">
        <v>26</v>
      </c>
    </row>
    <row r="109" spans="2:8">
      <c r="B109" s="49" t="s">
        <v>10</v>
      </c>
      <c r="C109" t="s" vm="3">
        <v>40</v>
      </c>
    </row>
    <row r="111" spans="2:8">
      <c r="B111" s="49" t="s">
        <v>1152</v>
      </c>
      <c r="C111" t="s">
        <v>1150</v>
      </c>
    </row>
    <row r="112" spans="2:8">
      <c r="B112" s="50" t="s">
        <v>611</v>
      </c>
      <c r="C112" s="323">
        <v>4</v>
      </c>
    </row>
    <row r="113" spans="2:16">
      <c r="B113" s="50" t="s">
        <v>612</v>
      </c>
      <c r="C113" s="323">
        <v>115</v>
      </c>
    </row>
    <row r="114" spans="2:16">
      <c r="B114" s="50" t="s">
        <v>2339</v>
      </c>
      <c r="C114" s="323">
        <v>3</v>
      </c>
    </row>
    <row r="115" spans="2:16">
      <c r="B115" s="50" t="s">
        <v>613</v>
      </c>
      <c r="C115" s="323">
        <v>10</v>
      </c>
    </row>
    <row r="116" spans="2:16">
      <c r="B116" s="50" t="s">
        <v>614</v>
      </c>
      <c r="C116" s="323">
        <v>2</v>
      </c>
    </row>
    <row r="117" spans="2:16">
      <c r="B117" s="50" t="s">
        <v>2344</v>
      </c>
      <c r="C117" s="323">
        <v>51</v>
      </c>
    </row>
    <row r="118" spans="2:16">
      <c r="B118" s="50" t="s">
        <v>28</v>
      </c>
      <c r="C118" s="323">
        <v>21</v>
      </c>
    </row>
    <row r="119" spans="2:16">
      <c r="B119" s="50" t="s">
        <v>1148</v>
      </c>
      <c r="C119" s="323">
        <v>206</v>
      </c>
    </row>
    <row r="126" spans="2:16" ht="22.2">
      <c r="B126" s="126" t="s">
        <v>1941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2339</v>
      </c>
      <c r="F134" t="s">
        <v>613</v>
      </c>
      <c r="G134" t="s">
        <v>614</v>
      </c>
      <c r="H134" t="s">
        <v>2344</v>
      </c>
      <c r="I134" t="s">
        <v>28</v>
      </c>
      <c r="J134" t="s">
        <v>1148</v>
      </c>
    </row>
    <row r="135" spans="2:10">
      <c r="B135" s="50" t="s">
        <v>379</v>
      </c>
      <c r="C135" s="323"/>
      <c r="D135" s="323">
        <v>23</v>
      </c>
      <c r="E135" s="323">
        <v>3</v>
      </c>
      <c r="F135" s="323">
        <v>4</v>
      </c>
      <c r="G135" s="323"/>
      <c r="H135" s="323">
        <v>12</v>
      </c>
      <c r="I135" s="323">
        <v>4</v>
      </c>
      <c r="J135" s="323">
        <v>46</v>
      </c>
    </row>
    <row r="136" spans="2:10">
      <c r="B136" s="50" t="s">
        <v>335</v>
      </c>
      <c r="C136" s="323"/>
      <c r="D136" s="323">
        <v>39</v>
      </c>
      <c r="E136" s="323"/>
      <c r="F136" s="323">
        <v>4</v>
      </c>
      <c r="G136" s="323"/>
      <c r="H136" s="323">
        <v>21</v>
      </c>
      <c r="I136" s="323">
        <v>3</v>
      </c>
      <c r="J136" s="323">
        <v>67</v>
      </c>
    </row>
    <row r="137" spans="2:10">
      <c r="B137" s="50" t="s">
        <v>368</v>
      </c>
      <c r="C137" s="323">
        <v>4</v>
      </c>
      <c r="D137" s="323">
        <v>18</v>
      </c>
      <c r="E137" s="323"/>
      <c r="F137" s="323">
        <v>2</v>
      </c>
      <c r="G137" s="323"/>
      <c r="H137" s="323">
        <v>14</v>
      </c>
      <c r="I137" s="323">
        <v>9</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v>1</v>
      </c>
      <c r="I139" s="323">
        <v>1</v>
      </c>
      <c r="J139" s="323">
        <v>6</v>
      </c>
    </row>
    <row r="140" spans="2:10">
      <c r="B140" s="50" t="s">
        <v>1867</v>
      </c>
      <c r="C140" s="323"/>
      <c r="D140" s="323">
        <v>2</v>
      </c>
      <c r="E140" s="323"/>
      <c r="F140" s="323"/>
      <c r="G140" s="323">
        <v>2</v>
      </c>
      <c r="H140" s="323">
        <v>3</v>
      </c>
      <c r="I140" s="323">
        <v>4</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51</v>
      </c>
      <c r="I143" s="323">
        <v>21</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21</v>
      </c>
    </row>
    <row r="160" spans="2:3">
      <c r="B160" s="50" t="s">
        <v>2339</v>
      </c>
      <c r="C160" s="323">
        <v>3</v>
      </c>
    </row>
    <row r="161" spans="2:3">
      <c r="B161" s="50" t="s">
        <v>2344</v>
      </c>
      <c r="C161" s="323">
        <v>51</v>
      </c>
    </row>
    <row r="162" spans="2:3">
      <c r="B162" s="50" t="s">
        <v>1148</v>
      </c>
      <c r="C162" s="323">
        <v>206</v>
      </c>
    </row>
    <row r="169" spans="2:3">
      <c r="B169" s="49" t="s">
        <v>9</v>
      </c>
      <c r="C169" t="s">
        <v>26</v>
      </c>
    </row>
    <row r="170" spans="2:3">
      <c r="B170" s="49" t="s">
        <v>1942</v>
      </c>
      <c r="C170" t="s">
        <v>2342</v>
      </c>
    </row>
    <row r="172" spans="2:3">
      <c r="B172" s="49" t="s">
        <v>1152</v>
      </c>
      <c r="C172" t="s">
        <v>2392</v>
      </c>
    </row>
    <row r="173" spans="2:3">
      <c r="B173" s="50" t="s">
        <v>2340</v>
      </c>
      <c r="C173" s="323">
        <v>50</v>
      </c>
    </row>
    <row r="174" spans="2:3">
      <c r="B174" s="50" t="s">
        <v>28</v>
      </c>
      <c r="C174" s="323">
        <v>21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2392</v>
      </c>
    </row>
    <row r="205" spans="2:3">
      <c r="B205" s="50" t="s">
        <v>611</v>
      </c>
      <c r="C205" s="323">
        <v>4</v>
      </c>
    </row>
    <row r="206" spans="2:3">
      <c r="B206" s="50" t="s">
        <v>612</v>
      </c>
      <c r="C206" s="323">
        <v>115</v>
      </c>
    </row>
    <row r="207" spans="2:3">
      <c r="B207" s="50" t="s">
        <v>2339</v>
      </c>
      <c r="C207" s="323">
        <v>3</v>
      </c>
    </row>
    <row r="208" spans="2:3">
      <c r="B208" s="50" t="s">
        <v>613</v>
      </c>
      <c r="C208" s="323">
        <v>10</v>
      </c>
    </row>
    <row r="209" spans="2:3">
      <c r="B209" s="50" t="s">
        <v>614</v>
      </c>
      <c r="C209" s="323">
        <v>2</v>
      </c>
    </row>
    <row r="210" spans="2:3">
      <c r="B210" s="50" t="s">
        <v>2340</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80" zoomScaleNormal="80" workbookViewId="0">
      <pane xSplit="3" ySplit="6" topLeftCell="G7" activePane="bottomRight" state="frozen"/>
      <selection pane="topRight" activeCell="D136" sqref="D136"/>
      <selection pane="bottomLeft" activeCell="D136" sqref="D136"/>
      <selection pane="bottomRight" activeCell="J665" sqref="J665"/>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40.09765625" bestFit="1" customWidth="1"/>
    <col min="10" max="11" width="40.09765625" customWidth="1"/>
    <col min="12" max="12" width="35" hidden="1" customWidth="1"/>
    <col min="13" max="13" width="24" hidden="1" customWidth="1"/>
    <col min="14" max="16" width="22" hidden="1" customWidth="1"/>
    <col min="17" max="17" width="22" customWidth="1"/>
    <col min="18" max="18" width="15.8984375" customWidth="1"/>
    <col min="19" max="19" width="42.59765625" customWidth="1"/>
    <col min="20" max="20" width="15.8984375" style="268" customWidth="1"/>
  </cols>
  <sheetData>
    <row r="1" spans="1:21" ht="17.399999999999999">
      <c r="A1" s="25"/>
      <c r="B1" s="25"/>
      <c r="C1" s="25"/>
      <c r="D1" s="25"/>
      <c r="E1" s="25"/>
      <c r="F1" s="25"/>
      <c r="G1" s="25"/>
      <c r="H1" s="25"/>
      <c r="I1" s="25"/>
      <c r="J1" s="25"/>
      <c r="K1" s="25"/>
      <c r="L1" s="25"/>
      <c r="M1" s="25"/>
      <c r="N1" s="25"/>
      <c r="O1" s="25"/>
      <c r="P1" s="25"/>
      <c r="Q1" s="25"/>
    </row>
    <row r="2" spans="1:21" ht="17.399999999999999">
      <c r="A2" s="25"/>
      <c r="B2" s="25"/>
      <c r="C2" s="25"/>
      <c r="D2" s="25"/>
      <c r="E2" s="385" t="s">
        <v>2192</v>
      </c>
      <c r="F2" s="25"/>
      <c r="G2" s="25"/>
      <c r="H2" s="25"/>
      <c r="I2" s="25"/>
      <c r="J2" s="25"/>
      <c r="K2" s="25"/>
      <c r="L2" s="25"/>
      <c r="M2" s="25"/>
      <c r="N2" s="25"/>
      <c r="O2" s="25"/>
      <c r="P2" s="25"/>
      <c r="Q2" s="25"/>
    </row>
    <row r="3" spans="1:21" ht="17.399999999999999">
      <c r="A3" s="25"/>
      <c r="B3" s="25"/>
      <c r="C3" s="25"/>
      <c r="D3" s="25"/>
      <c r="E3" s="25"/>
      <c r="F3" s="25"/>
      <c r="G3" s="25"/>
      <c r="H3" s="25"/>
      <c r="I3" s="25"/>
      <c r="J3" s="25"/>
      <c r="K3" s="25"/>
      <c r="L3" s="25"/>
      <c r="M3" s="25"/>
      <c r="N3" s="25"/>
      <c r="O3" s="25"/>
      <c r="P3" s="25"/>
      <c r="Q3" s="25"/>
    </row>
    <row r="4" spans="1:21" ht="5.0999999999999996" customHeight="1">
      <c r="A4" s="114"/>
      <c r="B4" s="114"/>
      <c r="C4" s="114"/>
      <c r="D4" s="114"/>
      <c r="E4" s="114"/>
      <c r="F4" s="114"/>
      <c r="G4" s="114"/>
      <c r="H4" s="114"/>
      <c r="I4" s="114"/>
      <c r="J4" s="114"/>
      <c r="K4" s="114"/>
      <c r="L4" s="114"/>
      <c r="M4" s="114"/>
      <c r="N4" s="114"/>
      <c r="O4" s="114"/>
      <c r="P4" s="114"/>
      <c r="Q4" s="114"/>
      <c r="R4" s="114"/>
      <c r="S4" s="114"/>
      <c r="T4" s="114"/>
      <c r="U4" s="114"/>
    </row>
    <row r="5" spans="1:21">
      <c r="I5" s="11" t="s">
        <v>2385</v>
      </c>
      <c r="J5" s="11" t="s">
        <v>2385</v>
      </c>
      <c r="K5" s="11" t="s">
        <v>2385</v>
      </c>
      <c r="Q5" s="11" t="s">
        <v>2385</v>
      </c>
      <c r="R5" s="11" t="s">
        <v>2385</v>
      </c>
      <c r="S5" s="11" t="s">
        <v>2385</v>
      </c>
      <c r="T5" s="11" t="s">
        <v>2385</v>
      </c>
      <c r="U5" s="11" t="s">
        <v>2385</v>
      </c>
    </row>
    <row r="6" spans="1:21" ht="17.399999999999999">
      <c r="B6" s="220" t="s">
        <v>8</v>
      </c>
      <c r="C6" s="221" t="s">
        <v>9</v>
      </c>
      <c r="D6" s="221" t="s">
        <v>10</v>
      </c>
      <c r="E6" s="221" t="s">
        <v>11</v>
      </c>
      <c r="F6" s="221" t="s">
        <v>12</v>
      </c>
      <c r="G6" s="221" t="s">
        <v>636</v>
      </c>
      <c r="H6" s="221" t="s">
        <v>637</v>
      </c>
      <c r="I6" s="393" t="s">
        <v>2361</v>
      </c>
      <c r="J6" s="393" t="s">
        <v>2362</v>
      </c>
      <c r="K6" s="393" t="s">
        <v>2384</v>
      </c>
      <c r="L6" s="394" t="s">
        <v>638</v>
      </c>
      <c r="M6" s="394" t="s">
        <v>639</v>
      </c>
      <c r="N6" s="395" t="s">
        <v>640</v>
      </c>
      <c r="O6" s="396" t="s">
        <v>1850</v>
      </c>
      <c r="P6" s="397" t="s">
        <v>1851</v>
      </c>
      <c r="Q6" s="397" t="s">
        <v>2404</v>
      </c>
      <c r="R6" s="400" t="s">
        <v>2345</v>
      </c>
      <c r="S6" s="397" t="s">
        <v>2395</v>
      </c>
      <c r="T6" s="400" t="s">
        <v>1942</v>
      </c>
      <c r="U6" s="398" t="s">
        <v>1162</v>
      </c>
    </row>
    <row r="7" spans="1:21" ht="16.350000000000001" hidden="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2340</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3" t="s">
        <v>2341</v>
      </c>
      <c r="U7" s="403"/>
    </row>
    <row r="8" spans="1:21" ht="16.350000000000001" hidden="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2340</v>
      </c>
      <c r="I8" s="388" t="s">
        <v>2260</v>
      </c>
      <c r="J8" s="388" t="s">
        <v>2375</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3"/>
      <c r="S8" s="403"/>
      <c r="T8" s="403" t="s">
        <v>2401</v>
      </c>
      <c r="U8" s="403"/>
    </row>
    <row r="9" spans="1:21" ht="16.350000000000001" hidden="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2340</v>
      </c>
      <c r="I9" s="388" t="s">
        <v>2260</v>
      </c>
      <c r="J9" s="388" t="s">
        <v>2375</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3" t="s">
        <v>2341</v>
      </c>
      <c r="U9" s="403"/>
    </row>
    <row r="10" spans="1:21" ht="16.350000000000001" hidden="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2340</v>
      </c>
      <c r="I10" s="388" t="s">
        <v>2260</v>
      </c>
      <c r="J10" s="388" t="s">
        <v>2375</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3" t="s">
        <v>2341</v>
      </c>
      <c r="U10" s="403"/>
    </row>
    <row r="11" spans="1:21" ht="16.350000000000001" hidden="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2340</v>
      </c>
      <c r="I11" s="388" t="s">
        <v>2260</v>
      </c>
      <c r="J11" s="388" t="s">
        <v>2375</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3" t="s">
        <v>2341</v>
      </c>
      <c r="U11" s="403"/>
    </row>
    <row r="12" spans="1:21" ht="16.350000000000001" hidden="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2340</v>
      </c>
      <c r="I12" s="388" t="s">
        <v>2260</v>
      </c>
      <c r="J12" s="388" t="s">
        <v>2375</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3" t="s">
        <v>2341</v>
      </c>
      <c r="U12" s="403"/>
    </row>
    <row r="13" spans="1:21" ht="16.350000000000001" hidden="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t="s">
        <v>2340</v>
      </c>
      <c r="I13" s="388" t="s">
        <v>2260</v>
      </c>
      <c r="J13" s="388" t="s">
        <v>2375</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3"/>
      <c r="S13" s="403"/>
      <c r="T13" s="403" t="s">
        <v>2343</v>
      </c>
      <c r="U13" s="403"/>
    </row>
    <row r="14" spans="1:21" ht="16.350000000000001" hidden="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t="s">
        <v>2340</v>
      </c>
      <c r="I14" s="388" t="s">
        <v>2260</v>
      </c>
      <c r="J14" s="388" t="s">
        <v>2375</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3"/>
      <c r="S14" s="403"/>
      <c r="T14" s="403" t="s">
        <v>2343</v>
      </c>
      <c r="U14" s="403"/>
    </row>
    <row r="15" spans="1:21" ht="16.350000000000001" hidden="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t="s">
        <v>2340</v>
      </c>
      <c r="I15" s="388" t="s">
        <v>2260</v>
      </c>
      <c r="J15" s="388" t="s">
        <v>2375</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3"/>
      <c r="S15" s="403"/>
      <c r="T15" s="403" t="s">
        <v>2343</v>
      </c>
      <c r="U15" s="403"/>
    </row>
    <row r="16" spans="1:21" ht="16.350000000000001" hidden="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t="s">
        <v>2340</v>
      </c>
      <c r="I16" s="388" t="s">
        <v>2260</v>
      </c>
      <c r="J16" s="388" t="s">
        <v>2375</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3"/>
      <c r="S16" s="403"/>
      <c r="T16" s="403" t="s">
        <v>2343</v>
      </c>
      <c r="U16" s="403"/>
    </row>
    <row r="17" spans="1:21" ht="16.350000000000001" hidden="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t="s">
        <v>2340</v>
      </c>
      <c r="I17" s="388" t="s">
        <v>2260</v>
      </c>
      <c r="J17" s="388" t="s">
        <v>2375</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3"/>
      <c r="S17" s="403"/>
      <c r="T17" s="403" t="s">
        <v>2343</v>
      </c>
      <c r="U17" s="403"/>
    </row>
    <row r="18" spans="1:21" ht="16.350000000000001" hidden="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t="s">
        <v>2340</v>
      </c>
      <c r="I18" s="388" t="s">
        <v>2260</v>
      </c>
      <c r="J18" s="388" t="s">
        <v>2375</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3"/>
      <c r="S18" s="403"/>
      <c r="T18" s="403" t="s">
        <v>2343</v>
      </c>
      <c r="U18" s="403"/>
    </row>
    <row r="19" spans="1:21" ht="16.350000000000001" hidden="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t="s">
        <v>2340</v>
      </c>
      <c r="I19" s="388" t="s">
        <v>2260</v>
      </c>
      <c r="J19" s="388" t="s">
        <v>2375</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3"/>
      <c r="S19" s="403"/>
      <c r="T19" s="403" t="s">
        <v>2343</v>
      </c>
      <c r="U19" s="403"/>
    </row>
    <row r="20" spans="1:21" ht="16.350000000000001" hidden="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t="s">
        <v>2340</v>
      </c>
      <c r="I20" s="388" t="s">
        <v>2260</v>
      </c>
      <c r="J20" s="388" t="s">
        <v>2375</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3"/>
      <c r="S20" s="403"/>
      <c r="T20" s="403" t="s">
        <v>2343</v>
      </c>
      <c r="U20" s="403"/>
    </row>
    <row r="21" spans="1:21" ht="16.350000000000001" hidden="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t="s">
        <v>2340</v>
      </c>
      <c r="I21" s="388" t="s">
        <v>2260</v>
      </c>
      <c r="J21" s="388" t="s">
        <v>2375</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3"/>
      <c r="S21" s="403"/>
      <c r="T21" s="403" t="s">
        <v>2343</v>
      </c>
      <c r="U21" s="403"/>
    </row>
    <row r="22" spans="1:21" ht="16.350000000000001" hidden="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t="s">
        <v>2340</v>
      </c>
      <c r="I22" s="388" t="s">
        <v>2260</v>
      </c>
      <c r="J22" s="388" t="s">
        <v>2375</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3"/>
      <c r="S22" s="403"/>
      <c r="T22" s="403" t="s">
        <v>2343</v>
      </c>
      <c r="U22" s="403"/>
    </row>
    <row r="23" spans="1:21" ht="16.350000000000001" hidden="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t="s">
        <v>2340</v>
      </c>
      <c r="I23" s="388" t="s">
        <v>2260</v>
      </c>
      <c r="J23" s="388" t="s">
        <v>2375</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3"/>
      <c r="S23" s="403"/>
      <c r="T23" s="403" t="s">
        <v>2343</v>
      </c>
      <c r="U23" s="403"/>
    </row>
    <row r="24" spans="1:21" ht="16.350000000000001" hidden="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t="s">
        <v>2340</v>
      </c>
      <c r="I24" s="388" t="s">
        <v>2260</v>
      </c>
      <c r="J24" s="388" t="s">
        <v>2375</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3"/>
      <c r="S24" s="403"/>
      <c r="T24" s="403" t="s">
        <v>2343</v>
      </c>
      <c r="U24" s="403"/>
    </row>
    <row r="25" spans="1:21" ht="16.350000000000001" hidden="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t="s">
        <v>2340</v>
      </c>
      <c r="I25" s="388" t="s">
        <v>2260</v>
      </c>
      <c r="J25" s="388" t="s">
        <v>2375</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3"/>
      <c r="S25" s="403"/>
      <c r="T25" s="403" t="s">
        <v>2343</v>
      </c>
      <c r="U25" s="403"/>
    </row>
    <row r="26" spans="1:21" ht="16.350000000000001" hidden="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t="s">
        <v>2340</v>
      </c>
      <c r="I26" s="388" t="s">
        <v>2260</v>
      </c>
      <c r="J26" s="388" t="s">
        <v>2375</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3"/>
      <c r="S26" s="403"/>
      <c r="T26" s="403" t="s">
        <v>2343</v>
      </c>
      <c r="U26" s="403"/>
    </row>
    <row r="27" spans="1:21" ht="16.350000000000001" hidden="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t="s">
        <v>2340</v>
      </c>
      <c r="I27" s="388" t="s">
        <v>2260</v>
      </c>
      <c r="J27" s="388" t="s">
        <v>2375</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3"/>
      <c r="S27" s="403"/>
      <c r="T27" s="403" t="s">
        <v>2343</v>
      </c>
      <c r="U27" s="403"/>
    </row>
    <row r="28" spans="1:21" ht="16.350000000000001" hidden="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t="s">
        <v>2340</v>
      </c>
      <c r="I28" s="388" t="s">
        <v>2260</v>
      </c>
      <c r="J28" s="388" t="s">
        <v>2375</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3"/>
      <c r="S28" s="403"/>
      <c r="T28" s="403" t="s">
        <v>2343</v>
      </c>
      <c r="U28" s="403"/>
    </row>
    <row r="29" spans="1:21" ht="16.350000000000001" hidden="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t="s">
        <v>2340</v>
      </c>
      <c r="I29" s="388" t="s">
        <v>2260</v>
      </c>
      <c r="J29" s="388" t="s">
        <v>2375</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3"/>
      <c r="S29" s="403"/>
      <c r="T29" s="403" t="s">
        <v>2343</v>
      </c>
      <c r="U29" s="403"/>
    </row>
    <row r="30" spans="1:21" ht="16.350000000000001" hidden="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t="s">
        <v>2340</v>
      </c>
      <c r="I30" s="388" t="s">
        <v>2260</v>
      </c>
      <c r="J30" s="388" t="s">
        <v>2375</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3"/>
      <c r="S30" s="403"/>
      <c r="T30" s="403" t="s">
        <v>2343</v>
      </c>
      <c r="U30" s="403"/>
    </row>
    <row r="31" spans="1:21" ht="16.350000000000001" hidden="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t="s">
        <v>2340</v>
      </c>
      <c r="I31" s="388" t="s">
        <v>2260</v>
      </c>
      <c r="J31" s="388" t="s">
        <v>2375</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3"/>
      <c r="S31" s="403"/>
      <c r="T31" s="403" t="s">
        <v>2343</v>
      </c>
      <c r="U31" s="403"/>
    </row>
    <row r="32" spans="1:21" ht="16.350000000000001" hidden="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t="s">
        <v>2340</v>
      </c>
      <c r="I32" s="388" t="s">
        <v>2260</v>
      </c>
      <c r="J32" s="388" t="s">
        <v>2375</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3"/>
      <c r="S32" s="403"/>
      <c r="T32" s="403" t="s">
        <v>2343</v>
      </c>
      <c r="U32" s="403"/>
    </row>
    <row r="33" spans="1:21" ht="16.350000000000001" hidden="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t="s">
        <v>2340</v>
      </c>
      <c r="I33" s="388" t="s">
        <v>2260</v>
      </c>
      <c r="J33" s="388" t="s">
        <v>2375</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3"/>
      <c r="S33" s="403"/>
      <c r="T33" s="403" t="s">
        <v>2343</v>
      </c>
      <c r="U33" s="403"/>
    </row>
    <row r="34" spans="1:21" ht="16.350000000000001" hidden="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t="s">
        <v>2340</v>
      </c>
      <c r="I34" s="388" t="s">
        <v>2260</v>
      </c>
      <c r="J34" s="388" t="s">
        <v>2375</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3"/>
      <c r="S34" s="403"/>
      <c r="T34" s="403" t="s">
        <v>2343</v>
      </c>
      <c r="U34" s="403"/>
    </row>
    <row r="35" spans="1:21" ht="16.350000000000001" hidden="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t="s">
        <v>2340</v>
      </c>
      <c r="I35" s="388" t="s">
        <v>2260</v>
      </c>
      <c r="J35" s="388" t="s">
        <v>2375</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3"/>
      <c r="S35" s="403"/>
      <c r="T35" s="403" t="s">
        <v>2343</v>
      </c>
      <c r="U35" s="403"/>
    </row>
    <row r="36" spans="1:21" ht="16.350000000000001" hidden="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t="s">
        <v>2340</v>
      </c>
      <c r="I36" s="388" t="s">
        <v>2260</v>
      </c>
      <c r="J36" s="388" t="s">
        <v>2375</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3"/>
      <c r="S36" s="403"/>
      <c r="T36" s="403" t="s">
        <v>2343</v>
      </c>
      <c r="U36" s="403"/>
    </row>
    <row r="37" spans="1:21" ht="16.350000000000001" hidden="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t="s">
        <v>2340</v>
      </c>
      <c r="I37" s="388" t="s">
        <v>2260</v>
      </c>
      <c r="J37" s="388" t="s">
        <v>2375</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3"/>
      <c r="S37" s="403"/>
      <c r="T37" s="403" t="s">
        <v>2343</v>
      </c>
      <c r="U37" s="403"/>
    </row>
    <row r="38" spans="1:21" ht="16.350000000000001" hidden="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t="s">
        <v>2340</v>
      </c>
      <c r="I38" s="388" t="s">
        <v>2260</v>
      </c>
      <c r="J38" s="388" t="s">
        <v>2375</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3"/>
      <c r="S38" s="403"/>
      <c r="T38" s="403" t="s">
        <v>2343</v>
      </c>
      <c r="U38" s="403"/>
    </row>
    <row r="39" spans="1:21" ht="16.350000000000001" hidden="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t="s">
        <v>2340</v>
      </c>
      <c r="I39" s="388" t="s">
        <v>2260</v>
      </c>
      <c r="J39" s="388" t="s">
        <v>2375</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3"/>
      <c r="S39" s="403"/>
      <c r="T39" s="403" t="s">
        <v>2343</v>
      </c>
      <c r="U39" s="403"/>
    </row>
    <row r="40" spans="1:21" ht="16.350000000000001" hidden="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t="s">
        <v>2340</v>
      </c>
      <c r="I40" s="388" t="s">
        <v>2260</v>
      </c>
      <c r="J40" s="388" t="s">
        <v>2375</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3"/>
      <c r="S40" s="403"/>
      <c r="T40" s="403" t="s">
        <v>2343</v>
      </c>
      <c r="U40" s="403"/>
    </row>
    <row r="41" spans="1:21" ht="16.350000000000001" hidden="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t="s">
        <v>2340</v>
      </c>
      <c r="I41" s="388" t="s">
        <v>2260</v>
      </c>
      <c r="J41" s="388" t="s">
        <v>2375</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3"/>
      <c r="S41" s="403"/>
      <c r="T41" s="403" t="s">
        <v>2343</v>
      </c>
      <c r="U41" s="403"/>
    </row>
    <row r="42" spans="1:21" ht="16.350000000000001" hidden="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3"/>
      <c r="S42" s="403"/>
      <c r="T42" s="403" t="s">
        <v>2341</v>
      </c>
      <c r="U42" s="403"/>
    </row>
    <row r="43" spans="1:21" ht="16.350000000000001" hidden="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3"/>
      <c r="S43" s="403"/>
      <c r="T43" s="403" t="s">
        <v>2341</v>
      </c>
      <c r="U43" s="403"/>
    </row>
    <row r="44" spans="1:21" ht="16.350000000000001" hidden="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t="s">
        <v>2340</v>
      </c>
      <c r="I44" s="388" t="s">
        <v>2260</v>
      </c>
      <c r="J44" s="388" t="s">
        <v>2375</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3"/>
      <c r="S44" s="403"/>
      <c r="T44" s="403" t="s">
        <v>2343</v>
      </c>
      <c r="U44" s="403"/>
    </row>
    <row r="45" spans="1:21" ht="16.350000000000001" hidden="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t="s">
        <v>2340</v>
      </c>
      <c r="I45" s="388" t="s">
        <v>2260</v>
      </c>
      <c r="J45" s="388" t="s">
        <v>2375</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3"/>
      <c r="S45" s="403"/>
      <c r="T45" s="403" t="s">
        <v>2343</v>
      </c>
      <c r="U45" s="403"/>
    </row>
    <row r="46" spans="1:21" ht="16.350000000000001" hidden="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t="s">
        <v>2340</v>
      </c>
      <c r="I46" s="388" t="s">
        <v>2260</v>
      </c>
      <c r="J46" s="388" t="s">
        <v>2375</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3"/>
      <c r="S46" s="403"/>
      <c r="T46" s="403" t="s">
        <v>2343</v>
      </c>
      <c r="U46" s="403"/>
    </row>
    <row r="47" spans="1:21" ht="16.350000000000001" hidden="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t="s">
        <v>2340</v>
      </c>
      <c r="I47" s="388" t="s">
        <v>2260</v>
      </c>
      <c r="J47" s="388" t="s">
        <v>2375</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3"/>
      <c r="S47" s="403"/>
      <c r="T47" s="403" t="s">
        <v>2343</v>
      </c>
      <c r="U47" s="403"/>
    </row>
    <row r="48" spans="1:21" ht="16.350000000000001" hidden="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t="s">
        <v>2340</v>
      </c>
      <c r="I48" s="388" t="s">
        <v>2260</v>
      </c>
      <c r="J48" s="388" t="s">
        <v>2375</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3"/>
      <c r="S48" s="403"/>
      <c r="T48" s="403" t="s">
        <v>2343</v>
      </c>
      <c r="U48" s="403"/>
    </row>
    <row r="49" spans="1:21" ht="16.350000000000001" hidden="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2340</v>
      </c>
      <c r="I49" s="388" t="s">
        <v>2260</v>
      </c>
      <c r="J49" s="388" t="s">
        <v>2375</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3"/>
      <c r="S49" s="403"/>
      <c r="T49" s="403" t="s">
        <v>2401</v>
      </c>
      <c r="U49" s="403"/>
    </row>
    <row r="50" spans="1:21" ht="16.350000000000001" hidden="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2340</v>
      </c>
      <c r="I50" s="388" t="s">
        <v>2260</v>
      </c>
      <c r="J50" s="388" t="s">
        <v>2375</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3"/>
      <c r="S50" s="403"/>
      <c r="T50" s="403" t="s">
        <v>2401</v>
      </c>
      <c r="U50" s="403"/>
    </row>
    <row r="51" spans="1:21" ht="16.350000000000001" hidden="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2340</v>
      </c>
      <c r="I51" s="388" t="s">
        <v>2260</v>
      </c>
      <c r="J51" s="388" t="s">
        <v>2375</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3"/>
      <c r="S51" s="403"/>
      <c r="T51" s="403" t="s">
        <v>2401</v>
      </c>
      <c r="U51" s="403"/>
    </row>
    <row r="52" spans="1:21" ht="16.350000000000001" hidden="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2340</v>
      </c>
      <c r="I52" s="388" t="s">
        <v>2260</v>
      </c>
      <c r="J52" s="388" t="s">
        <v>2375</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3"/>
      <c r="S52" s="403"/>
      <c r="T52" s="403" t="s">
        <v>2401</v>
      </c>
      <c r="U52" s="403"/>
    </row>
    <row r="53" spans="1:21" ht="16.350000000000001" hidden="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2340</v>
      </c>
      <c r="I53" s="388" t="s">
        <v>2260</v>
      </c>
      <c r="J53" s="388" t="s">
        <v>2375</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3"/>
      <c r="S53" s="403"/>
      <c r="T53" s="403" t="s">
        <v>2401</v>
      </c>
      <c r="U53" s="403"/>
    </row>
    <row r="54" spans="1:21" ht="16.350000000000001" hidden="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3" t="s">
        <v>2341</v>
      </c>
      <c r="U54" s="403"/>
    </row>
    <row r="55" spans="1:21" ht="16.350000000000001" hidden="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3" t="s">
        <v>2341</v>
      </c>
      <c r="U55" s="403"/>
    </row>
    <row r="56" spans="1:21" ht="16.350000000000001" hidden="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3" t="s">
        <v>2341</v>
      </c>
      <c r="U56" s="403"/>
    </row>
    <row r="57" spans="1:21" ht="16.350000000000001" hidden="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3" t="s">
        <v>2341</v>
      </c>
      <c r="U57" s="403"/>
    </row>
    <row r="58" spans="1:21" ht="16.350000000000001" hidden="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3" t="s">
        <v>2341</v>
      </c>
      <c r="U58" s="403"/>
    </row>
    <row r="59" spans="1:21" ht="16.350000000000001" hidden="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3" t="s">
        <v>2341</v>
      </c>
      <c r="U59" s="403"/>
    </row>
    <row r="60" spans="1:21" ht="16.350000000000001" hidden="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3" t="s">
        <v>2341</v>
      </c>
      <c r="U60" s="403"/>
    </row>
    <row r="61" spans="1:21" ht="16.350000000000001" hidden="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3" t="s">
        <v>2341</v>
      </c>
      <c r="U61" s="403"/>
    </row>
    <row r="62" spans="1:21" ht="16.350000000000001" hidden="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3" t="s">
        <v>2341</v>
      </c>
      <c r="U62" s="403"/>
    </row>
    <row r="63" spans="1:21" ht="16.350000000000001" hidden="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3" t="s">
        <v>2341</v>
      </c>
      <c r="U63" s="403"/>
    </row>
    <row r="64" spans="1:21" ht="16.350000000000001" hidden="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3" t="s">
        <v>2341</v>
      </c>
      <c r="U64" s="403"/>
    </row>
    <row r="65" spans="1:21" ht="16.350000000000001" hidden="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3" t="s">
        <v>2341</v>
      </c>
      <c r="U65" s="403"/>
    </row>
    <row r="66" spans="1:21" ht="16.350000000000001" hidden="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3" t="s">
        <v>2341</v>
      </c>
      <c r="U66" s="403"/>
    </row>
    <row r="67" spans="1:21" ht="16.350000000000001" hidden="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3" t="s">
        <v>2341</v>
      </c>
      <c r="U67" s="403"/>
    </row>
    <row r="68" spans="1:21" ht="16.350000000000001" hidden="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3" t="s">
        <v>2341</v>
      </c>
      <c r="U68" s="403"/>
    </row>
    <row r="69" spans="1:21" ht="16.350000000000001" hidden="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3" t="s">
        <v>2341</v>
      </c>
      <c r="U69" s="403"/>
    </row>
    <row r="70" spans="1:21" ht="16.350000000000001" hidden="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3" t="s">
        <v>2341</v>
      </c>
      <c r="U70" s="403"/>
    </row>
    <row r="71" spans="1:21" ht="16.350000000000001" hidden="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3" t="s">
        <v>2341</v>
      </c>
      <c r="U71" s="403"/>
    </row>
    <row r="72" spans="1:21" ht="16.350000000000001" hidden="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3" t="s">
        <v>2341</v>
      </c>
      <c r="U72" s="403"/>
    </row>
    <row r="73" spans="1:21" ht="16.350000000000001" hidden="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3" t="s">
        <v>2341</v>
      </c>
      <c r="U73" s="403"/>
    </row>
    <row r="74" spans="1:21" ht="16.350000000000001" hidden="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3" t="s">
        <v>2341</v>
      </c>
      <c r="U74" s="403"/>
    </row>
    <row r="75" spans="1:21" ht="16.350000000000001" hidden="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3" t="s">
        <v>2341</v>
      </c>
      <c r="U75" s="403"/>
    </row>
    <row r="76" spans="1:21" ht="16.350000000000001" hidden="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3" t="s">
        <v>2341</v>
      </c>
      <c r="U76" s="403"/>
    </row>
    <row r="77" spans="1:21" ht="16.350000000000001" hidden="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3" t="s">
        <v>2341</v>
      </c>
      <c r="U77" s="403"/>
    </row>
    <row r="78" spans="1:21" ht="16.350000000000001" hidden="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3" t="s">
        <v>2341</v>
      </c>
      <c r="U78" s="403"/>
    </row>
    <row r="79" spans="1:21" ht="16.350000000000001" hidden="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3" t="s">
        <v>2341</v>
      </c>
      <c r="U79" s="403"/>
    </row>
    <row r="80" spans="1:21" ht="16.350000000000001" hidden="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3" t="s">
        <v>2341</v>
      </c>
      <c r="U80" s="403"/>
    </row>
    <row r="81" spans="1:21" ht="16.350000000000001" hidden="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3" t="s">
        <v>2341</v>
      </c>
      <c r="U81" s="403"/>
    </row>
    <row r="82" spans="1:21" ht="16.350000000000001" hidden="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3" t="s">
        <v>2341</v>
      </c>
      <c r="U82" s="403"/>
    </row>
    <row r="83" spans="1:21" ht="16.350000000000001" hidden="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3" t="s">
        <v>2341</v>
      </c>
      <c r="U83" s="403"/>
    </row>
    <row r="84" spans="1:21" ht="16.350000000000001" hidden="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3" t="s">
        <v>2341</v>
      </c>
      <c r="U84" s="403"/>
    </row>
    <row r="85" spans="1:21" ht="16.350000000000001" hidden="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3" t="s">
        <v>2341</v>
      </c>
      <c r="U85" s="403"/>
    </row>
    <row r="86" spans="1:21" ht="16.350000000000001" hidden="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3" t="s">
        <v>2341</v>
      </c>
      <c r="U86" s="403"/>
    </row>
    <row r="87" spans="1:21" ht="16.350000000000001" hidden="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3" t="s">
        <v>2341</v>
      </c>
      <c r="U87" s="403"/>
    </row>
    <row r="88" spans="1:21" ht="16.350000000000001" hidden="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3" t="s">
        <v>2341</v>
      </c>
      <c r="U88" s="403"/>
    </row>
    <row r="89" spans="1:21" ht="16.350000000000001" hidden="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3" t="s">
        <v>2341</v>
      </c>
      <c r="U89" s="403"/>
    </row>
    <row r="90" spans="1:21" ht="16.350000000000001" hidden="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3" t="s">
        <v>2341</v>
      </c>
      <c r="U90" s="403"/>
    </row>
    <row r="91" spans="1:21" ht="16.350000000000001" hidden="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3" t="s">
        <v>2341</v>
      </c>
      <c r="U91" s="403"/>
    </row>
    <row r="92" spans="1:21" ht="16.350000000000001" hidden="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3" t="s">
        <v>2341</v>
      </c>
      <c r="U92" s="403"/>
    </row>
    <row r="93" spans="1:21" ht="16.350000000000001" hidden="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3" t="s">
        <v>2341</v>
      </c>
      <c r="U93" s="403"/>
    </row>
    <row r="94" spans="1:21" ht="16.350000000000001" hidden="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3" t="s">
        <v>2341</v>
      </c>
      <c r="U94" s="403"/>
    </row>
    <row r="95" spans="1:21" ht="16.350000000000001" hidden="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3" t="s">
        <v>2341</v>
      </c>
      <c r="U95" s="403"/>
    </row>
    <row r="96" spans="1:21" ht="16.350000000000001" hidden="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3" t="s">
        <v>2341</v>
      </c>
      <c r="U96" s="403"/>
    </row>
    <row r="97" spans="1:21" ht="16.350000000000001" hidden="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3" t="s">
        <v>2341</v>
      </c>
      <c r="U97" s="403"/>
    </row>
    <row r="98" spans="1:21" ht="16.350000000000001" hidden="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3" t="s">
        <v>2341</v>
      </c>
      <c r="U98" s="403"/>
    </row>
    <row r="99" spans="1:21" ht="16.350000000000001" hidden="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3" t="s">
        <v>2341</v>
      </c>
      <c r="U99" s="403"/>
    </row>
    <row r="100" spans="1:21" ht="16.350000000000001" hidden="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3" t="s">
        <v>2341</v>
      </c>
      <c r="U100" s="403"/>
    </row>
    <row r="101" spans="1:21" ht="16.350000000000001" hidden="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3" t="s">
        <v>2341</v>
      </c>
      <c r="U101" s="403"/>
    </row>
    <row r="102" spans="1:21" ht="16.350000000000001" hidden="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3" t="s">
        <v>2341</v>
      </c>
      <c r="U102" s="403"/>
    </row>
    <row r="103" spans="1:21" ht="16.350000000000001" hidden="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3" t="s">
        <v>2341</v>
      </c>
      <c r="U103" s="403"/>
    </row>
    <row r="104" spans="1:21" ht="16.350000000000001" hidden="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3" t="s">
        <v>2341</v>
      </c>
      <c r="U104" s="403"/>
    </row>
    <row r="105" spans="1:21" ht="16.350000000000001" hidden="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3" t="s">
        <v>2341</v>
      </c>
      <c r="U105" s="403"/>
    </row>
    <row r="106" spans="1:21" ht="16.350000000000001" hidden="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3" t="s">
        <v>2341</v>
      </c>
      <c r="U106" s="403"/>
    </row>
    <row r="107" spans="1:21" ht="16.350000000000001" hidden="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3" t="s">
        <v>2341</v>
      </c>
      <c r="U107" s="403"/>
    </row>
    <row r="108" spans="1:21" ht="16.350000000000001" hidden="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3" t="s">
        <v>2341</v>
      </c>
      <c r="U108" s="403"/>
    </row>
    <row r="109" spans="1:21" ht="16.350000000000001" hidden="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3" t="s">
        <v>2341</v>
      </c>
      <c r="U109" s="403"/>
    </row>
    <row r="110" spans="1:21" ht="16.350000000000001" hidden="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3" t="s">
        <v>2341</v>
      </c>
      <c r="U110" s="403"/>
    </row>
    <row r="111" spans="1:21" ht="16.350000000000001" hidden="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3" t="s">
        <v>2341</v>
      </c>
      <c r="U111" s="403"/>
    </row>
    <row r="112" spans="1:21" ht="16.350000000000001" hidden="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3" t="s">
        <v>2341</v>
      </c>
      <c r="U112" s="403"/>
    </row>
    <row r="113" spans="1:21" ht="16.350000000000001" hidden="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3" t="s">
        <v>2341</v>
      </c>
      <c r="U113" s="403"/>
    </row>
    <row r="114" spans="1:21" ht="16.350000000000001" hidden="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3" t="s">
        <v>2341</v>
      </c>
      <c r="U114" s="403"/>
    </row>
    <row r="115" spans="1:21" ht="16.350000000000001" hidden="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3" t="s">
        <v>2341</v>
      </c>
      <c r="U115" s="403"/>
    </row>
    <row r="116" spans="1:21" ht="16.350000000000001" hidden="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3" t="s">
        <v>2341</v>
      </c>
      <c r="U116" s="403"/>
    </row>
    <row r="117" spans="1:21" ht="16.350000000000001" hidden="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3" t="s">
        <v>2341</v>
      </c>
      <c r="U117" s="403"/>
    </row>
    <row r="118" spans="1:21" ht="16.350000000000001" hidden="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3" t="s">
        <v>2341</v>
      </c>
      <c r="U118" s="403"/>
    </row>
    <row r="119" spans="1:21" ht="16.350000000000001" hidden="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3" t="s">
        <v>2341</v>
      </c>
      <c r="U119" s="403"/>
    </row>
    <row r="120" spans="1:21" ht="16.350000000000001" hidden="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3" t="s">
        <v>2341</v>
      </c>
      <c r="U120" s="403"/>
    </row>
    <row r="121" spans="1:21" ht="16.350000000000001" hidden="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3" t="s">
        <v>2341</v>
      </c>
      <c r="U121" s="403"/>
    </row>
    <row r="122" spans="1:21" ht="16.350000000000001" hidden="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3" t="s">
        <v>2341</v>
      </c>
      <c r="U122" s="403"/>
    </row>
    <row r="123" spans="1:21" ht="16.350000000000001" hidden="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3" t="s">
        <v>2341</v>
      </c>
      <c r="U123" s="403"/>
    </row>
    <row r="124" spans="1:21" ht="16.350000000000001" hidden="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3" t="s">
        <v>2341</v>
      </c>
      <c r="U124" s="403"/>
    </row>
    <row r="125" spans="1:21" ht="16.350000000000001" hidden="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3" t="s">
        <v>2341</v>
      </c>
      <c r="U125" s="403"/>
    </row>
    <row r="126" spans="1:21" ht="16.350000000000001" hidden="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3" t="s">
        <v>2341</v>
      </c>
      <c r="U126" s="403"/>
    </row>
    <row r="127" spans="1:21" ht="16.350000000000001" hidden="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3" t="s">
        <v>2341</v>
      </c>
      <c r="U127" s="403"/>
    </row>
    <row r="128" spans="1:21" ht="16.350000000000001" hidden="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3" t="s">
        <v>2341</v>
      </c>
      <c r="U128" s="403"/>
    </row>
    <row r="129" spans="1:21" ht="16.350000000000001" hidden="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3" t="s">
        <v>2341</v>
      </c>
      <c r="U129" s="403"/>
    </row>
    <row r="130" spans="1:21" ht="16.350000000000001" hidden="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3" t="s">
        <v>2341</v>
      </c>
      <c r="U130" s="403"/>
    </row>
    <row r="131" spans="1:21" ht="16.350000000000001" hidden="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3" t="s">
        <v>2341</v>
      </c>
      <c r="U131" s="403"/>
    </row>
    <row r="132" spans="1:21" ht="16.350000000000001" hidden="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3" t="s">
        <v>2341</v>
      </c>
      <c r="U132" s="403"/>
    </row>
    <row r="133" spans="1:21" ht="16.350000000000001" hidden="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3" t="s">
        <v>2341</v>
      </c>
      <c r="U133" s="403"/>
    </row>
    <row r="134" spans="1:21" ht="16.350000000000001" hidden="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3" t="s">
        <v>2341</v>
      </c>
      <c r="U134" s="403"/>
    </row>
    <row r="135" spans="1:21" ht="16.350000000000001" hidden="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3" t="s">
        <v>2341</v>
      </c>
      <c r="U135" s="403"/>
    </row>
    <row r="136" spans="1:21" ht="16.350000000000001" hidden="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3" t="s">
        <v>2341</v>
      </c>
      <c r="U136" s="403"/>
    </row>
    <row r="137" spans="1:21" ht="16.350000000000001" hidden="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3" t="s">
        <v>2341</v>
      </c>
      <c r="U137" s="403"/>
    </row>
    <row r="138" spans="1:21" ht="16.350000000000001" hidden="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3" t="s">
        <v>2341</v>
      </c>
      <c r="U138" s="403"/>
    </row>
    <row r="139" spans="1:21" ht="16.350000000000001" hidden="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3" t="s">
        <v>2341</v>
      </c>
      <c r="U139" s="403"/>
    </row>
    <row r="140" spans="1:21" ht="16.350000000000001" hidden="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3" t="s">
        <v>2341</v>
      </c>
      <c r="U140" s="403"/>
    </row>
    <row r="141" spans="1:21" ht="16.350000000000001" hidden="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3" t="s">
        <v>2341</v>
      </c>
      <c r="U141" s="403"/>
    </row>
    <row r="142" spans="1:21" ht="16.350000000000001" hidden="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3" t="s">
        <v>2341</v>
      </c>
      <c r="U142" s="403"/>
    </row>
    <row r="143" spans="1:21" ht="16.350000000000001" hidden="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t="s">
        <v>2375</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3" t="s">
        <v>2341</v>
      </c>
      <c r="U143" s="403"/>
    </row>
    <row r="144" spans="1:21" ht="16.350000000000001" hidden="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t="s">
        <v>2375</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3" t="s">
        <v>2341</v>
      </c>
      <c r="U144" s="403"/>
    </row>
    <row r="145" spans="1:21" ht="16.350000000000001" hidden="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t="s">
        <v>2375</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3" t="s">
        <v>2341</v>
      </c>
      <c r="U145" s="403"/>
    </row>
    <row r="146" spans="1:21" ht="16.350000000000001" hidden="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t="s">
        <v>2375</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3" t="s">
        <v>2341</v>
      </c>
      <c r="U146" s="403"/>
    </row>
    <row r="147" spans="1:21" ht="16.350000000000001" hidden="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t="s">
        <v>2375</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3" t="s">
        <v>2341</v>
      </c>
      <c r="U147" s="403"/>
    </row>
    <row r="148" spans="1:21" ht="16.350000000000001" hidden="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t="s">
        <v>2375</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3" t="s">
        <v>2341</v>
      </c>
      <c r="U148" s="403"/>
    </row>
    <row r="149" spans="1:21" ht="16.350000000000001" hidden="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t="s">
        <v>2375</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3" t="s">
        <v>2341</v>
      </c>
      <c r="U149" s="403"/>
    </row>
    <row r="150" spans="1:21" ht="16.350000000000001" hidden="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t="s">
        <v>2375</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3" t="s">
        <v>2341</v>
      </c>
      <c r="U150" s="403"/>
    </row>
    <row r="151" spans="1:21" ht="16.350000000000001" hidden="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t="s">
        <v>2375</v>
      </c>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3" t="s">
        <v>2341</v>
      </c>
      <c r="U151" s="403"/>
    </row>
    <row r="152" spans="1:21" ht="16.350000000000001" hidden="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t="s">
        <v>2375</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3" t="s">
        <v>2341</v>
      </c>
      <c r="U152" s="403"/>
    </row>
    <row r="153" spans="1:21" ht="16.350000000000001" hidden="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2340</v>
      </c>
      <c r="I153" s="388" t="s">
        <v>2260</v>
      </c>
      <c r="J153" s="388" t="s">
        <v>2375</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3" t="s">
        <v>2341</v>
      </c>
      <c r="U153" s="403"/>
    </row>
    <row r="154" spans="1:21" ht="16.350000000000001" hidden="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t="s">
        <v>2375</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3" t="s">
        <v>2341</v>
      </c>
      <c r="U154" s="403"/>
    </row>
    <row r="155" spans="1:21" ht="16.350000000000001" hidden="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t="s">
        <v>2375</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3" t="s">
        <v>2341</v>
      </c>
      <c r="U155" s="403"/>
    </row>
    <row r="156" spans="1:21" ht="16.350000000000001" hidden="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t="s">
        <v>2375</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3" t="s">
        <v>2341</v>
      </c>
      <c r="U156" s="403"/>
    </row>
    <row r="157" spans="1:21" ht="16.350000000000001" hidden="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t="s">
        <v>2375</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3" t="s">
        <v>2341</v>
      </c>
      <c r="U157" s="403"/>
    </row>
    <row r="158" spans="1:21" ht="16.350000000000001" hidden="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t="s">
        <v>2375</v>
      </c>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3" t="s">
        <v>2341</v>
      </c>
      <c r="U158" s="403"/>
    </row>
    <row r="159" spans="1:21" ht="16.350000000000001" hidden="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t="s">
        <v>2375</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3" t="s">
        <v>2341</v>
      </c>
      <c r="U159" s="403"/>
    </row>
    <row r="160" spans="1:21" ht="16.350000000000001" hidden="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2340</v>
      </c>
      <c r="I160" s="388" t="s">
        <v>2260</v>
      </c>
      <c r="J160" s="388" t="s">
        <v>2375</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3" t="s">
        <v>2341</v>
      </c>
      <c r="U160" s="403"/>
    </row>
    <row r="161" spans="1:21" ht="16.350000000000001" hidden="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t="s">
        <v>2375</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3" t="s">
        <v>2341</v>
      </c>
      <c r="U161" s="403"/>
    </row>
    <row r="162" spans="1:21" ht="16.350000000000001" hidden="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t="s">
        <v>2375</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3" t="s">
        <v>2341</v>
      </c>
      <c r="U162" s="403"/>
    </row>
    <row r="163" spans="1:21" ht="16.350000000000001" hidden="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t="s">
        <v>2375</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3" t="s">
        <v>2341</v>
      </c>
      <c r="U163" s="403"/>
    </row>
    <row r="164" spans="1:21" ht="16.350000000000001" hidden="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t="s">
        <v>2375</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3" t="s">
        <v>2341</v>
      </c>
      <c r="U164" s="403"/>
    </row>
    <row r="165" spans="1:21" ht="16.350000000000001" hidden="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t="s">
        <v>2375</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3" t="s">
        <v>2341</v>
      </c>
      <c r="U165" s="403"/>
    </row>
    <row r="166" spans="1:21" ht="16.350000000000001" hidden="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t="s">
        <v>2375</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3" t="s">
        <v>2341</v>
      </c>
      <c r="U166" s="403"/>
    </row>
    <row r="167" spans="1:21" ht="16.350000000000001" hidden="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t="s">
        <v>2375</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3" t="s">
        <v>2341</v>
      </c>
      <c r="U167" s="403"/>
    </row>
    <row r="168" spans="1:21" ht="16.350000000000001" hidden="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t="s">
        <v>2375</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3" t="s">
        <v>2341</v>
      </c>
      <c r="U168" s="403"/>
    </row>
    <row r="169" spans="1:21" ht="16.350000000000001" hidden="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t="s">
        <v>2375</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3" t="s">
        <v>2341</v>
      </c>
      <c r="U169" s="403"/>
    </row>
    <row r="170" spans="1:21" ht="16.350000000000001" hidden="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t="s">
        <v>2375</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3" t="s">
        <v>2341</v>
      </c>
      <c r="U170" s="403"/>
    </row>
    <row r="171" spans="1:21" ht="16.350000000000001" hidden="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t="s">
        <v>2375</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3" t="s">
        <v>2341</v>
      </c>
      <c r="U171" s="403"/>
    </row>
    <row r="172" spans="1:21" ht="16.350000000000001" hidden="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t="s">
        <v>2375</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3" t="s">
        <v>2341</v>
      </c>
      <c r="U172" s="403"/>
    </row>
    <row r="173" spans="1:21" ht="16.350000000000001" hidden="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t="s">
        <v>2375</v>
      </c>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3" t="s">
        <v>2341</v>
      </c>
      <c r="U173" s="403"/>
    </row>
    <row r="174" spans="1:21" ht="16.350000000000001" hidden="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t="s">
        <v>2375</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3" t="s">
        <v>2341</v>
      </c>
      <c r="U174" s="403"/>
    </row>
    <row r="175" spans="1:21" ht="16.350000000000001" hidden="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2340</v>
      </c>
      <c r="I175" s="388" t="s">
        <v>2260</v>
      </c>
      <c r="J175" s="388" t="s">
        <v>2375</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3" t="s">
        <v>2341</v>
      </c>
      <c r="U175" s="403"/>
    </row>
    <row r="176" spans="1:21" ht="16.350000000000001" hidden="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t="s">
        <v>2375</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3" t="s">
        <v>2341</v>
      </c>
      <c r="U176" s="403"/>
    </row>
    <row r="177" spans="1:21" ht="16.350000000000001" hidden="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t="s">
        <v>2375</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3" t="s">
        <v>2341</v>
      </c>
      <c r="U177" s="403"/>
    </row>
    <row r="178" spans="1:21" ht="16.350000000000001" hidden="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t="s">
        <v>2375</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3" t="s">
        <v>2341</v>
      </c>
      <c r="U178" s="403"/>
    </row>
    <row r="179" spans="1:21" ht="16.350000000000001" hidden="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t="s">
        <v>2375</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3" t="s">
        <v>2341</v>
      </c>
      <c r="U179" s="403"/>
    </row>
    <row r="180" spans="1:21" ht="16.350000000000001" hidden="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t="s">
        <v>2375</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3" t="s">
        <v>2341</v>
      </c>
      <c r="U180" s="403"/>
    </row>
    <row r="181" spans="1:21" ht="16.350000000000001" hidden="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t="s">
        <v>2375</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3" t="s">
        <v>2341</v>
      </c>
      <c r="U181" s="403"/>
    </row>
    <row r="182" spans="1:21" ht="16.350000000000001" hidden="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t="s">
        <v>2375</v>
      </c>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3" t="s">
        <v>2341</v>
      </c>
      <c r="U182" s="403"/>
    </row>
    <row r="183" spans="1:21" ht="16.350000000000001" hidden="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t="s">
        <v>2375</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3" t="s">
        <v>2341</v>
      </c>
      <c r="U183" s="403"/>
    </row>
    <row r="184" spans="1:21" ht="16.350000000000001" hidden="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2340</v>
      </c>
      <c r="I184" s="388" t="s">
        <v>2260</v>
      </c>
      <c r="J184" s="388" t="s">
        <v>2375</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3" t="s">
        <v>2341</v>
      </c>
      <c r="U184" s="403"/>
    </row>
    <row r="185" spans="1:21" ht="16.350000000000001" hidden="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t="s">
        <v>2375</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3" t="s">
        <v>2341</v>
      </c>
      <c r="U185" s="403"/>
    </row>
    <row r="186" spans="1:21" ht="16.350000000000001" hidden="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t="s">
        <v>2375</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3" t="s">
        <v>2341</v>
      </c>
      <c r="U186" s="403"/>
    </row>
    <row r="187" spans="1:21" ht="16.350000000000001" hidden="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t="s">
        <v>2375</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3" t="s">
        <v>2341</v>
      </c>
      <c r="U187" s="403"/>
    </row>
    <row r="188" spans="1:21" ht="16.350000000000001" hidden="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t="s">
        <v>2375</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3" t="s">
        <v>2341</v>
      </c>
      <c r="U188" s="403"/>
    </row>
    <row r="189" spans="1:21" ht="16.350000000000001" hidden="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t="s">
        <v>2375</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3" t="s">
        <v>2341</v>
      </c>
      <c r="U189" s="403"/>
    </row>
    <row r="190" spans="1:21" ht="16.350000000000001" hidden="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t="s">
        <v>2375</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3" t="s">
        <v>2341</v>
      </c>
      <c r="U190" s="403"/>
    </row>
    <row r="191" spans="1:21" ht="16.350000000000001" hidden="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t="s">
        <v>2375</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3" t="s">
        <v>2341</v>
      </c>
      <c r="U191" s="403"/>
    </row>
    <row r="192" spans="1:21" ht="16.350000000000001" hidden="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t="s">
        <v>2375</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3" t="s">
        <v>2341</v>
      </c>
      <c r="U192" s="403"/>
    </row>
    <row r="193" spans="1:21" ht="16.350000000000001" hidden="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t="s">
        <v>2375</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3" t="s">
        <v>2341</v>
      </c>
      <c r="U193" s="403"/>
    </row>
    <row r="194" spans="1:21" ht="16.350000000000001" hidden="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t="s">
        <v>2375</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3" t="s">
        <v>2341</v>
      </c>
      <c r="U194" s="403"/>
    </row>
    <row r="195" spans="1:21" ht="16.350000000000001" hidden="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t="s">
        <v>2375</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3" t="s">
        <v>2341</v>
      </c>
      <c r="U195" s="403"/>
    </row>
    <row r="196" spans="1:21" ht="16.350000000000001" hidden="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t="s">
        <v>2375</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3" t="s">
        <v>2341</v>
      </c>
      <c r="U196" s="403"/>
    </row>
    <row r="197" spans="1:21" ht="16.350000000000001" hidden="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t="s">
        <v>2375</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3" t="s">
        <v>2341</v>
      </c>
      <c r="U197" s="403"/>
    </row>
    <row r="198" spans="1:21" ht="16.350000000000001" hidden="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t="s">
        <v>2375</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3" t="s">
        <v>2341</v>
      </c>
      <c r="U198" s="403"/>
    </row>
    <row r="199" spans="1:21" ht="16.350000000000001" hidden="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t="s">
        <v>2375</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3" t="s">
        <v>2341</v>
      </c>
      <c r="U199" s="403"/>
    </row>
    <row r="200" spans="1:21" ht="16.350000000000001" hidden="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t="s">
        <v>2375</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3" t="s">
        <v>2341</v>
      </c>
      <c r="U200" s="403"/>
    </row>
    <row r="201" spans="1:21" ht="16.350000000000001" hidden="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t="s">
        <v>2375</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3" t="s">
        <v>2341</v>
      </c>
      <c r="U201" s="403"/>
    </row>
    <row r="202" spans="1:21" ht="16.350000000000001" hidden="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t="s">
        <v>2375</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3" t="s">
        <v>2341</v>
      </c>
      <c r="U202" s="403"/>
    </row>
    <row r="203" spans="1:21" ht="16.350000000000001" hidden="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t="s">
        <v>2375</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3" t="s">
        <v>2341</v>
      </c>
      <c r="U203" s="403"/>
    </row>
    <row r="204" spans="1:21" ht="16.350000000000001" hidden="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t="s">
        <v>2375</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3" t="s">
        <v>2341</v>
      </c>
      <c r="U204" s="403"/>
    </row>
    <row r="205" spans="1:21" ht="16.350000000000001" hidden="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t="s">
        <v>2375</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3" t="s">
        <v>2341</v>
      </c>
      <c r="U205" s="403"/>
    </row>
    <row r="206" spans="1:21" ht="16.350000000000001" hidden="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t="s">
        <v>2375</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3" t="s">
        <v>2341</v>
      </c>
      <c r="U206" s="403"/>
    </row>
    <row r="207" spans="1:21" ht="16.350000000000001" hidden="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t="s">
        <v>2375</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3" t="s">
        <v>2341</v>
      </c>
      <c r="U207" s="403"/>
    </row>
    <row r="208" spans="1:21" ht="16.350000000000001" hidden="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t="s">
        <v>2375</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3" t="s">
        <v>2341</v>
      </c>
      <c r="U208" s="403"/>
    </row>
    <row r="209" spans="1:21" ht="16.350000000000001" hidden="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t="s">
        <v>2375</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3" t="s">
        <v>2341</v>
      </c>
      <c r="U209" s="403"/>
    </row>
    <row r="210" spans="1:21" ht="16.350000000000001" hidden="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t="s">
        <v>2375</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3" t="s">
        <v>2341</v>
      </c>
      <c r="U210" s="403"/>
    </row>
    <row r="211" spans="1:21" ht="16.350000000000001" hidden="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t="s">
        <v>2375</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3" t="s">
        <v>2341</v>
      </c>
      <c r="U211" s="403"/>
    </row>
    <row r="212" spans="1:21" ht="16.350000000000001" hidden="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t="s">
        <v>2375</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3" t="s">
        <v>2341</v>
      </c>
      <c r="U212" s="403"/>
    </row>
    <row r="213" spans="1:21" ht="16.350000000000001" hidden="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t="s">
        <v>2375</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3" t="s">
        <v>2341</v>
      </c>
      <c r="U213" s="403"/>
    </row>
    <row r="214" spans="1:21" ht="16.350000000000001" hidden="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t="s">
        <v>2375</v>
      </c>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3" t="s">
        <v>2341</v>
      </c>
      <c r="U214" s="403"/>
    </row>
    <row r="215" spans="1:21" ht="16.350000000000001" hidden="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t="s">
        <v>2375</v>
      </c>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3" t="s">
        <v>2341</v>
      </c>
      <c r="U215" s="403"/>
    </row>
    <row r="216" spans="1:21" ht="16.350000000000001" hidden="1" customHeight="1">
      <c r="A216" s="29" t="str">
        <f t="shared" si="4"/>
        <v>PROPERTY_ENERGY_CERTIFICATECURRENT_ENERGY_RATING_PERCENTAGE</v>
      </c>
      <c r="B216" s="141" t="s">
        <v>26</v>
      </c>
      <c r="C216" s="137" t="s">
        <v>54</v>
      </c>
      <c r="D216" s="133" t="s">
        <v>40</v>
      </c>
      <c r="E216" s="134" t="s">
        <v>123</v>
      </c>
      <c r="F216" s="133" t="s">
        <v>1965</v>
      </c>
      <c r="G216" s="135" t="str">
        <f>VLOOKUP(A216,Plano_V3!$A$26:$G$759,7,0)</f>
        <v>1. Concluído</v>
      </c>
      <c r="H216" s="135" t="s">
        <v>615</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3" t="s">
        <v>2341</v>
      </c>
      <c r="U216" s="332" t="s">
        <v>1864</v>
      </c>
    </row>
    <row r="217" spans="1:21" ht="16.350000000000001" hidden="1" customHeight="1">
      <c r="A217" s="29" t="str">
        <f t="shared" si="4"/>
        <v>modesg_param_sfics_taxon_europeian.a.</v>
      </c>
      <c r="B217" s="141" t="s">
        <v>26</v>
      </c>
      <c r="C217" s="137" t="s">
        <v>181</v>
      </c>
      <c r="D217" s="133" t="s">
        <v>36</v>
      </c>
      <c r="E217" s="134" t="s">
        <v>2107</v>
      </c>
      <c r="F217" s="133" t="s">
        <v>38</v>
      </c>
      <c r="G217" s="135" t="str">
        <f>VLOOKUP(A217,Plano_V3!$A$26:$G$759,7,0)</f>
        <v>2.2 Em especificação</v>
      </c>
      <c r="H217" s="135" t="s">
        <v>614</v>
      </c>
      <c r="I217" s="142" t="s">
        <v>2375</v>
      </c>
      <c r="J217" s="388" t="s">
        <v>2375</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3" t="s">
        <v>2341</v>
      </c>
      <c r="U217" s="331" t="s">
        <v>2327</v>
      </c>
    </row>
    <row r="218" spans="1:21" ht="16.350000000000001" hidden="1" customHeight="1">
      <c r="A218" s="29" t="str">
        <f t="shared" si="4"/>
        <v>modesg_param_sfics_taxon_europeiaref_date</v>
      </c>
      <c r="B218" s="141" t="s">
        <v>26</v>
      </c>
      <c r="C218" s="137" t="s">
        <v>181</v>
      </c>
      <c r="D218" s="133" t="s">
        <v>40</v>
      </c>
      <c r="E218" s="134" t="s">
        <v>2107</v>
      </c>
      <c r="F218" s="133" t="s">
        <v>208</v>
      </c>
      <c r="G218" s="135" t="str">
        <f>VLOOKUP(A218,Plano_V3!$A$26:$G$759,7,0)</f>
        <v>2.2 Em especificação</v>
      </c>
      <c r="H218" s="135" t="s">
        <v>614</v>
      </c>
      <c r="I218" s="153" t="s">
        <v>2375</v>
      </c>
      <c r="J218" s="388" t="s">
        <v>2375</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3" t="s">
        <v>2341</v>
      </c>
      <c r="U218" s="331" t="s">
        <v>2327</v>
      </c>
    </row>
    <row r="219" spans="1:21" ht="16.350000000000001" hidden="1" customHeight="1">
      <c r="A219" s="29" t="str">
        <f t="shared" si="4"/>
        <v>modesg_param_sfics_taxon_europeiacod_regra</v>
      </c>
      <c r="B219" s="141" t="s">
        <v>26</v>
      </c>
      <c r="C219" s="137" t="s">
        <v>181</v>
      </c>
      <c r="D219" s="133" t="s">
        <v>40</v>
      </c>
      <c r="E219" s="134" t="s">
        <v>2107</v>
      </c>
      <c r="F219" s="133" t="s">
        <v>191</v>
      </c>
      <c r="G219" s="135" t="str">
        <f>VLOOKUP(A219,Plano_V3!$A$26:$G$759,7,0)</f>
        <v>2.2 Em especificação</v>
      </c>
      <c r="H219" s="135" t="s">
        <v>614</v>
      </c>
      <c r="I219" s="153" t="s">
        <v>2375</v>
      </c>
      <c r="J219" s="388" t="s">
        <v>2375</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3" t="s">
        <v>2341</v>
      </c>
      <c r="U219" s="331" t="s">
        <v>2327</v>
      </c>
    </row>
    <row r="220" spans="1:21" ht="16.350000000000001" hidden="1" customHeight="1">
      <c r="A220" s="29" t="str">
        <f t="shared" si="4"/>
        <v>modesg_param_sfics_taxon_europeiadscrc</v>
      </c>
      <c r="B220" s="141" t="s">
        <v>26</v>
      </c>
      <c r="C220" s="137" t="s">
        <v>181</v>
      </c>
      <c r="D220" s="133" t="s">
        <v>40</v>
      </c>
      <c r="E220" s="134" t="s">
        <v>2107</v>
      </c>
      <c r="F220" s="133" t="s">
        <v>197</v>
      </c>
      <c r="G220" s="135" t="str">
        <f>VLOOKUP(A220,Plano_V3!$A$26:$G$759,7,0)</f>
        <v>2.2 Em especificação</v>
      </c>
      <c r="H220" s="135" t="s">
        <v>614</v>
      </c>
      <c r="I220" s="153" t="s">
        <v>2375</v>
      </c>
      <c r="J220" s="388" t="s">
        <v>2375</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3" t="s">
        <v>2341</v>
      </c>
      <c r="U220" s="331" t="s">
        <v>2327</v>
      </c>
    </row>
    <row r="221" spans="1:21" ht="16.350000000000001" hidden="1" customHeight="1">
      <c r="A221" s="29" t="str">
        <f t="shared" si="4"/>
        <v>modesg_param_sfics_taxon_europeiacomite</v>
      </c>
      <c r="B221" s="141" t="s">
        <v>26</v>
      </c>
      <c r="C221" s="137" t="s">
        <v>181</v>
      </c>
      <c r="D221" s="133" t="s">
        <v>40</v>
      </c>
      <c r="E221" s="134" t="s">
        <v>2107</v>
      </c>
      <c r="F221" s="133" t="s">
        <v>192</v>
      </c>
      <c r="G221" s="135" t="str">
        <f>VLOOKUP(A221,Plano_V3!$A$26:$G$759,7,0)</f>
        <v>2.2 Em especificação</v>
      </c>
      <c r="H221" s="135" t="s">
        <v>614</v>
      </c>
      <c r="I221" s="153" t="s">
        <v>2375</v>
      </c>
      <c r="J221" s="388" t="s">
        <v>2375</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3" t="s">
        <v>2341</v>
      </c>
      <c r="U221" s="331" t="s">
        <v>2327</v>
      </c>
    </row>
    <row r="222" spans="1:21" ht="16.350000000000001" hidden="1" customHeight="1">
      <c r="A222" s="29" t="str">
        <f t="shared" si="4"/>
        <v>modesg_param_sfics_taxon_europeiadata_aprvc</v>
      </c>
      <c r="B222" s="141" t="s">
        <v>26</v>
      </c>
      <c r="C222" s="137" t="s">
        <v>181</v>
      </c>
      <c r="D222" s="133" t="s">
        <v>40</v>
      </c>
      <c r="E222" s="134" t="s">
        <v>2107</v>
      </c>
      <c r="F222" s="133" t="s">
        <v>193</v>
      </c>
      <c r="G222" s="135" t="str">
        <f>VLOOKUP(A222,Plano_V3!$A$26:$G$759,7,0)</f>
        <v>2.2 Em especificação</v>
      </c>
      <c r="H222" s="135" t="s">
        <v>614</v>
      </c>
      <c r="I222" s="153" t="s">
        <v>2375</v>
      </c>
      <c r="J222" s="388" t="s">
        <v>2375</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3" t="s">
        <v>2341</v>
      </c>
      <c r="U222" s="331" t="s">
        <v>2327</v>
      </c>
    </row>
    <row r="223" spans="1:21" ht="16.350000000000001" hidden="1" customHeight="1">
      <c r="A223" s="29" t="str">
        <f t="shared" si="4"/>
        <v>modesg_param_sfics_taxon_europeiadata_inicial</v>
      </c>
      <c r="B223" s="141" t="s">
        <v>26</v>
      </c>
      <c r="C223" s="137" t="s">
        <v>181</v>
      </c>
      <c r="D223" s="133" t="s">
        <v>40</v>
      </c>
      <c r="E223" s="134" t="s">
        <v>2107</v>
      </c>
      <c r="F223" s="133" t="s">
        <v>195</v>
      </c>
      <c r="G223" s="135" t="str">
        <f>VLOOKUP(A223,Plano_V3!$A$26:$G$759,7,0)</f>
        <v>2.2 Em especificação</v>
      </c>
      <c r="H223" s="135" t="s">
        <v>614</v>
      </c>
      <c r="I223" s="153" t="s">
        <v>2375</v>
      </c>
      <c r="J223" s="388" t="s">
        <v>2375</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3" t="s">
        <v>2341</v>
      </c>
      <c r="U223" s="331" t="s">
        <v>2327</v>
      </c>
    </row>
    <row r="224" spans="1:21" ht="16.350000000000001" hidden="1" customHeight="1">
      <c r="A224" s="29" t="str">
        <f t="shared" si="4"/>
        <v>modesg_param_sfics_taxon_europeiadata_final</v>
      </c>
      <c r="B224" s="141" t="s">
        <v>26</v>
      </c>
      <c r="C224" s="137" t="s">
        <v>181</v>
      </c>
      <c r="D224" s="133" t="s">
        <v>40</v>
      </c>
      <c r="E224" s="134" t="s">
        <v>2107</v>
      </c>
      <c r="F224" s="133" t="s">
        <v>194</v>
      </c>
      <c r="G224" s="135" t="str">
        <f>VLOOKUP(A224,Plano_V3!$A$26:$G$759,7,0)</f>
        <v>2.2 Em especificação</v>
      </c>
      <c r="H224" s="135" t="s">
        <v>614</v>
      </c>
      <c r="I224" s="153" t="s">
        <v>2375</v>
      </c>
      <c r="J224" s="388" t="s">
        <v>2375</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3" t="s">
        <v>2341</v>
      </c>
      <c r="U224" s="331" t="s">
        <v>2327</v>
      </c>
    </row>
    <row r="225" spans="1:21" ht="16.350000000000001" hidden="1" customHeight="1">
      <c r="A225" s="29" t="str">
        <f t="shared" si="4"/>
        <v>modesg_param_sfics_taxon_europeiazcliente</v>
      </c>
      <c r="B225" s="141" t="s">
        <v>26</v>
      </c>
      <c r="C225" s="137" t="s">
        <v>181</v>
      </c>
      <c r="D225" s="133" t="s">
        <v>40</v>
      </c>
      <c r="E225" s="134" t="s">
        <v>2107</v>
      </c>
      <c r="F225" s="133" t="s">
        <v>209</v>
      </c>
      <c r="G225" s="135" t="str">
        <f>VLOOKUP(A225,Plano_V3!$A$26:$G$759,7,0)</f>
        <v>2.2 Em especificação</v>
      </c>
      <c r="H225" s="135" t="s">
        <v>614</v>
      </c>
      <c r="I225" s="153" t="s">
        <v>2375</v>
      </c>
      <c r="J225" s="388" t="s">
        <v>2375</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3" t="s">
        <v>2341</v>
      </c>
      <c r="U225" s="331" t="s">
        <v>2327</v>
      </c>
    </row>
    <row r="226" spans="1:21" ht="16.350000000000001" hidden="1" customHeight="1">
      <c r="A226" s="29" t="str">
        <f t="shared" si="4"/>
        <v>modesg_param_sfics_taxon_europeiacontraparte</v>
      </c>
      <c r="B226" s="141" t="s">
        <v>26</v>
      </c>
      <c r="C226" s="137" t="s">
        <v>181</v>
      </c>
      <c r="D226" s="133" t="s">
        <v>40</v>
      </c>
      <c r="E226" s="134" t="s">
        <v>2107</v>
      </c>
      <c r="F226" s="133" t="s">
        <v>394</v>
      </c>
      <c r="G226" s="135" t="str">
        <f>VLOOKUP(A226,Plano_V3!$A$26:$G$759,7,0)</f>
        <v>2.2 Em especificação</v>
      </c>
      <c r="H226" s="135" t="s">
        <v>614</v>
      </c>
      <c r="I226" s="153" t="s">
        <v>2375</v>
      </c>
      <c r="J226" s="388" t="s">
        <v>2375</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3" t="s">
        <v>2343</v>
      </c>
      <c r="U226" s="331" t="s">
        <v>2327</v>
      </c>
    </row>
    <row r="227" spans="1:21" ht="16.350000000000001" hidden="1" customHeight="1">
      <c r="A227" s="29" t="str">
        <f t="shared" si="4"/>
        <v>modesg_param_sfics_taxon_europeiacempresa</v>
      </c>
      <c r="B227" s="141" t="s">
        <v>26</v>
      </c>
      <c r="C227" s="137" t="s">
        <v>181</v>
      </c>
      <c r="D227" s="133" t="s">
        <v>40</v>
      </c>
      <c r="E227" s="134" t="s">
        <v>2107</v>
      </c>
      <c r="F227" s="133" t="s">
        <v>184</v>
      </c>
      <c r="G227" s="135" t="str">
        <f>VLOOKUP(A227,Plano_V3!$A$26:$G$759,7,0)</f>
        <v>2.2 Em especificação</v>
      </c>
      <c r="H227" s="135" t="s">
        <v>614</v>
      </c>
      <c r="I227" s="153" t="s">
        <v>2375</v>
      </c>
      <c r="J227" s="388" t="s">
        <v>2375</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3" t="s">
        <v>2341</v>
      </c>
      <c r="U227" s="331" t="s">
        <v>2327</v>
      </c>
    </row>
    <row r="228" spans="1:21" ht="16.350000000000001" hidden="1" customHeight="1">
      <c r="A228" s="29" t="str">
        <f t="shared" si="4"/>
        <v>modesg_param_sfics_taxon_europeiacbalcao</v>
      </c>
      <c r="B228" s="141" t="s">
        <v>26</v>
      </c>
      <c r="C228" s="137" t="s">
        <v>181</v>
      </c>
      <c r="D228" s="133" t="s">
        <v>40</v>
      </c>
      <c r="E228" s="134" t="s">
        <v>2107</v>
      </c>
      <c r="F228" s="133" t="s">
        <v>183</v>
      </c>
      <c r="G228" s="135" t="str">
        <f>VLOOKUP(A228,Plano_V3!$A$26:$G$759,7,0)</f>
        <v>2.2 Em especificação</v>
      </c>
      <c r="H228" s="135" t="s">
        <v>614</v>
      </c>
      <c r="I228" s="153" t="s">
        <v>2375</v>
      </c>
      <c r="J228" s="388" t="s">
        <v>2375</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3" t="s">
        <v>2341</v>
      </c>
      <c r="U228" s="331" t="s">
        <v>2327</v>
      </c>
    </row>
    <row r="229" spans="1:21" ht="16.350000000000001" hidden="1" customHeight="1">
      <c r="A229" s="29" t="str">
        <f t="shared" si="4"/>
        <v>modesg_param_sfics_taxon_europeiacnumecta</v>
      </c>
      <c r="B229" s="141" t="s">
        <v>26</v>
      </c>
      <c r="C229" s="137" t="s">
        <v>181</v>
      </c>
      <c r="D229" s="133" t="s">
        <v>40</v>
      </c>
      <c r="E229" s="134" t="s">
        <v>2107</v>
      </c>
      <c r="F229" s="133" t="s">
        <v>189</v>
      </c>
      <c r="G229" s="135" t="str">
        <f>VLOOKUP(A229,Plano_V3!$A$26:$G$759,7,0)</f>
        <v>2.2 Em especificação</v>
      </c>
      <c r="H229" s="135" t="s">
        <v>614</v>
      </c>
      <c r="I229" s="153" t="s">
        <v>2375</v>
      </c>
      <c r="J229" s="388" t="s">
        <v>2375</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3" t="s">
        <v>2341</v>
      </c>
      <c r="U229" s="331" t="s">
        <v>2327</v>
      </c>
    </row>
    <row r="230" spans="1:21" ht="16.350000000000001" hidden="1" customHeight="1">
      <c r="A230" s="29" t="str">
        <f t="shared" si="4"/>
        <v>modesg_param_sfics_taxon_europeiazdeposit</v>
      </c>
      <c r="B230" s="141" t="s">
        <v>26</v>
      </c>
      <c r="C230" s="137" t="s">
        <v>181</v>
      </c>
      <c r="D230" s="133" t="s">
        <v>40</v>
      </c>
      <c r="E230" s="134" t="s">
        <v>2107</v>
      </c>
      <c r="F230" s="133" t="s">
        <v>210</v>
      </c>
      <c r="G230" s="135" t="str">
        <f>VLOOKUP(A230,Plano_V3!$A$26:$G$759,7,0)</f>
        <v>2.2 Em especificação</v>
      </c>
      <c r="H230" s="135" t="s">
        <v>614</v>
      </c>
      <c r="I230" s="153" t="s">
        <v>2375</v>
      </c>
      <c r="J230" s="388" t="s">
        <v>2375</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3" t="s">
        <v>2341</v>
      </c>
      <c r="U230" s="331" t="s">
        <v>2327</v>
      </c>
    </row>
    <row r="231" spans="1:21" ht="16.350000000000001" hidden="1" customHeight="1">
      <c r="A231" s="29" t="str">
        <f t="shared" si="4"/>
        <v>modesg_param_sfics_taxon_europeiackmetamis</v>
      </c>
      <c r="B231" s="141" t="s">
        <v>26</v>
      </c>
      <c r="C231" s="137" t="s">
        <v>181</v>
      </c>
      <c r="D231" s="133" t="s">
        <v>40</v>
      </c>
      <c r="E231" s="134" t="s">
        <v>2107</v>
      </c>
      <c r="F231" s="133" t="s">
        <v>185</v>
      </c>
      <c r="G231" s="135" t="str">
        <f>VLOOKUP(A231,Plano_V3!$A$26:$G$759,7,0)</f>
        <v>2.2 Em especificação</v>
      </c>
      <c r="H231" s="135" t="s">
        <v>614</v>
      </c>
      <c r="I231" s="153" t="s">
        <v>2375</v>
      </c>
      <c r="J231" s="388" t="s">
        <v>2375</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3" t="s">
        <v>2341</v>
      </c>
      <c r="U231" s="331" t="s">
        <v>2327</v>
      </c>
    </row>
    <row r="232" spans="1:21" ht="16.350000000000001" hidden="1" customHeight="1">
      <c r="A232" s="29" t="str">
        <f t="shared" si="4"/>
        <v>modesg_param_sfics_taxon_europeiackprodmi</v>
      </c>
      <c r="B232" s="141" t="s">
        <v>26</v>
      </c>
      <c r="C232" s="137" t="s">
        <v>181</v>
      </c>
      <c r="D232" s="133" t="s">
        <v>40</v>
      </c>
      <c r="E232" s="134" t="s">
        <v>2107</v>
      </c>
      <c r="F232" s="133" t="s">
        <v>186</v>
      </c>
      <c r="G232" s="135" t="str">
        <f>VLOOKUP(A232,Plano_V3!$A$26:$G$759,7,0)</f>
        <v>2.2 Em especificação</v>
      </c>
      <c r="H232" s="135" t="s">
        <v>614</v>
      </c>
      <c r="I232" s="153" t="s">
        <v>2375</v>
      </c>
      <c r="J232" s="388" t="s">
        <v>2375</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3" t="s">
        <v>2341</v>
      </c>
      <c r="U232" s="331" t="s">
        <v>2327</v>
      </c>
    </row>
    <row r="233" spans="1:21" ht="16.350000000000001" hidden="1" customHeight="1">
      <c r="A233" s="29" t="str">
        <f t="shared" si="4"/>
        <v>modesg_param_sfics_taxon_europeiaprdt_sprdt</v>
      </c>
      <c r="B233" s="141" t="s">
        <v>26</v>
      </c>
      <c r="C233" s="137" t="s">
        <v>181</v>
      </c>
      <c r="D233" s="133" t="s">
        <v>40</v>
      </c>
      <c r="E233" s="134" t="s">
        <v>2107</v>
      </c>
      <c r="F233" s="366" t="s">
        <v>2056</v>
      </c>
      <c r="G233" s="135" t="str">
        <f>VLOOKUP(A233,Plano_V3!$A$26:$G$759,7,0)</f>
        <v>2.2 Em especificação</v>
      </c>
      <c r="H233" s="135" t="s">
        <v>614</v>
      </c>
      <c r="I233" s="367" t="s">
        <v>2375</v>
      </c>
      <c r="J233" s="388" t="s">
        <v>2375</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3" t="s">
        <v>2343</v>
      </c>
      <c r="U233" s="331" t="s">
        <v>2327</v>
      </c>
    </row>
    <row r="234" spans="1:21" ht="16.350000000000001" hidden="1" customHeight="1">
      <c r="A234" s="29" t="str">
        <f t="shared" si="4"/>
        <v>modesg_param_sfics_taxon_europeiacmetanseg</v>
      </c>
      <c r="B234" s="141" t="s">
        <v>26</v>
      </c>
      <c r="C234" s="137" t="s">
        <v>181</v>
      </c>
      <c r="D234" s="133" t="s">
        <v>40</v>
      </c>
      <c r="E234" s="134" t="s">
        <v>2107</v>
      </c>
      <c r="F234" s="133" t="s">
        <v>187</v>
      </c>
      <c r="G234" s="135" t="str">
        <f>VLOOKUP(A234,Plano_V3!$A$26:$G$759,7,0)</f>
        <v>2.2 Em especificação</v>
      </c>
      <c r="H234" s="135" t="s">
        <v>614</v>
      </c>
      <c r="I234" s="153" t="s">
        <v>2375</v>
      </c>
      <c r="J234" s="388" t="s">
        <v>2375</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3" t="s">
        <v>2341</v>
      </c>
      <c r="U234" s="331" t="s">
        <v>2327</v>
      </c>
    </row>
    <row r="235" spans="1:21" ht="16.350000000000001" hidden="1" customHeight="1">
      <c r="A235" s="29" t="str">
        <f t="shared" si="4"/>
        <v>modesg_param_sfics_taxon_europeiaepc</v>
      </c>
      <c r="B235" s="141" t="s">
        <v>26</v>
      </c>
      <c r="C235" s="137" t="s">
        <v>181</v>
      </c>
      <c r="D235" s="133" t="s">
        <v>40</v>
      </c>
      <c r="E235" s="134" t="s">
        <v>2107</v>
      </c>
      <c r="F235" s="133" t="s">
        <v>198</v>
      </c>
      <c r="G235" s="135" t="str">
        <f>VLOOKUP(A235,Plano_V3!$A$26:$G$759,7,0)</f>
        <v>2.2 Em especificação</v>
      </c>
      <c r="H235" s="135" t="s">
        <v>614</v>
      </c>
      <c r="I235" s="153" t="s">
        <v>2375</v>
      </c>
      <c r="J235" s="388" t="s">
        <v>2375</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3" t="s">
        <v>2341</v>
      </c>
      <c r="U235" s="331" t="s">
        <v>2327</v>
      </c>
    </row>
    <row r="236" spans="1:21" ht="16.350000000000001" hidden="1" customHeight="1">
      <c r="A236" s="29" t="str">
        <f t="shared" si="4"/>
        <v>modesg_param_sfics_taxon_europeiaquality_score</v>
      </c>
      <c r="B236" s="141" t="s">
        <v>26</v>
      </c>
      <c r="C236" s="137" t="s">
        <v>181</v>
      </c>
      <c r="D236" s="133" t="s">
        <v>40</v>
      </c>
      <c r="E236" s="134" t="s">
        <v>2107</v>
      </c>
      <c r="F236" s="133" t="s">
        <v>2065</v>
      </c>
      <c r="G236" s="135" t="str">
        <f>VLOOKUP(A236,Plano_V3!$A$26:$G$759,7,0)</f>
        <v>2.2 Em especificação</v>
      </c>
      <c r="H236" s="135" t="s">
        <v>614</v>
      </c>
      <c r="I236" s="153" t="s">
        <v>2375</v>
      </c>
      <c r="J236" s="388" t="s">
        <v>2375</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3" t="s">
        <v>2343</v>
      </c>
      <c r="U236" s="331" t="s">
        <v>2327</v>
      </c>
    </row>
    <row r="237" spans="1:21" ht="16.350000000000001" hidden="1" customHeight="1">
      <c r="A237" s="29" t="str">
        <f t="shared" si="4"/>
        <v>modesg_param_sfics_taxon_europeianzeb</v>
      </c>
      <c r="B237" s="141" t="s">
        <v>26</v>
      </c>
      <c r="C237" s="137" t="s">
        <v>181</v>
      </c>
      <c r="D237" s="133" t="s">
        <v>40</v>
      </c>
      <c r="E237" s="134" t="s">
        <v>2107</v>
      </c>
      <c r="F237" s="133" t="s">
        <v>2066</v>
      </c>
      <c r="G237" s="135" t="str">
        <f>VLOOKUP(A237,Plano_V3!$A$26:$G$759,7,0)</f>
        <v>2.2 Em especificação</v>
      </c>
      <c r="H237" s="135" t="s">
        <v>614</v>
      </c>
      <c r="I237" s="153" t="s">
        <v>2375</v>
      </c>
      <c r="J237" s="388" t="s">
        <v>2375</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3" t="s">
        <v>2343</v>
      </c>
      <c r="U237" s="331" t="s">
        <v>2327</v>
      </c>
    </row>
    <row r="238" spans="1:21" ht="16.350000000000001" hidden="1" customHeight="1">
      <c r="A238" s="29" t="str">
        <f t="shared" si="4"/>
        <v>modesg_param_sfics_taxon_europeiaRIEE</v>
      </c>
      <c r="B238" s="141" t="s">
        <v>26</v>
      </c>
      <c r="C238" s="137" t="s">
        <v>181</v>
      </c>
      <c r="D238" s="133" t="s">
        <v>40</v>
      </c>
      <c r="E238" s="134" t="s">
        <v>2107</v>
      </c>
      <c r="F238" s="133" t="s">
        <v>2067</v>
      </c>
      <c r="G238" s="135" t="str">
        <f>VLOOKUP(A238,Plano_V3!$A$26:$G$759,7,0)</f>
        <v>2.2 Em especificação</v>
      </c>
      <c r="H238" s="135" t="s">
        <v>614</v>
      </c>
      <c r="I238" s="142" t="s">
        <v>2375</v>
      </c>
      <c r="J238" s="388" t="s">
        <v>2375</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3" t="s">
        <v>2343</v>
      </c>
      <c r="U238" s="331" t="s">
        <v>2327</v>
      </c>
    </row>
    <row r="239" spans="1:21" ht="16.350000000000001" hidden="1" customHeight="1">
      <c r="A239" s="29" t="str">
        <f t="shared" si="4"/>
        <v>modesg_param_sfics_taxon_europeiaRNT</v>
      </c>
      <c r="B239" s="141" t="s">
        <v>26</v>
      </c>
      <c r="C239" s="137" t="s">
        <v>181</v>
      </c>
      <c r="D239" s="133" t="s">
        <v>40</v>
      </c>
      <c r="E239" s="134" t="s">
        <v>2107</v>
      </c>
      <c r="F239" s="133" t="s">
        <v>2068</v>
      </c>
      <c r="G239" s="135" t="str">
        <f>VLOOKUP(A239,Plano_V3!$A$26:$G$759,7,0)</f>
        <v>2.2 Em especificação</v>
      </c>
      <c r="H239" s="135" t="s">
        <v>614</v>
      </c>
      <c r="I239" s="142" t="s">
        <v>2375</v>
      </c>
      <c r="J239" s="388" t="s">
        <v>2375</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3" t="s">
        <v>2343</v>
      </c>
      <c r="U239" s="331" t="s">
        <v>2327</v>
      </c>
    </row>
    <row r="240" spans="1:21" ht="16.350000000000001" hidden="1" customHeight="1">
      <c r="A240" s="29" t="str">
        <f t="shared" si="4"/>
        <v>modesg_param_sfics_taxon_europeiaflg_rsc_fsc_crnc</v>
      </c>
      <c r="B240" s="141" t="s">
        <v>26</v>
      </c>
      <c r="C240" s="137" t="s">
        <v>181</v>
      </c>
      <c r="D240" s="133" t="s">
        <v>40</v>
      </c>
      <c r="E240" s="134" t="s">
        <v>2107</v>
      </c>
      <c r="F240" s="133" t="s">
        <v>283</v>
      </c>
      <c r="G240" s="135" t="str">
        <f>VLOOKUP(A240,Plano_V3!$A$26:$G$759,7,0)</f>
        <v>2.2 Em especificação</v>
      </c>
      <c r="H240" s="135" t="s">
        <v>614</v>
      </c>
      <c r="I240" s="142" t="s">
        <v>2375</v>
      </c>
      <c r="J240" s="388" t="s">
        <v>2375</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3" t="s">
        <v>2343</v>
      </c>
      <c r="U240" s="331" t="s">
        <v>2327</v>
      </c>
    </row>
    <row r="241" spans="1:21" ht="16.350000000000001" hidden="1" customHeight="1">
      <c r="A241" s="29" t="str">
        <f t="shared" si="4"/>
        <v>modesg_param_sfics_taxon_europeiaflg_rsc_fsc_agd</v>
      </c>
      <c r="B241" s="141" t="s">
        <v>26</v>
      </c>
      <c r="C241" s="137" t="s">
        <v>181</v>
      </c>
      <c r="D241" s="133" t="s">
        <v>40</v>
      </c>
      <c r="E241" s="134" t="s">
        <v>2107</v>
      </c>
      <c r="F241" s="133" t="s">
        <v>282</v>
      </c>
      <c r="G241" s="135" t="str">
        <f>VLOOKUP(A241,Plano_V3!$A$26:$G$759,7,0)</f>
        <v>2.2 Em especificação</v>
      </c>
      <c r="H241" s="135" t="s">
        <v>614</v>
      </c>
      <c r="I241" s="142" t="s">
        <v>2375</v>
      </c>
      <c r="J241" s="388" t="s">
        <v>2375</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3" t="s">
        <v>2343</v>
      </c>
      <c r="U241" s="331" t="s">
        <v>2327</v>
      </c>
    </row>
    <row r="242" spans="1:21" ht="16.350000000000001" hidden="1" customHeight="1">
      <c r="A242" s="29" t="str">
        <f t="shared" si="4"/>
        <v>modesg_param_sfics_taxon_europeiaconstruction_year</v>
      </c>
      <c r="B242" s="141" t="s">
        <v>26</v>
      </c>
      <c r="C242" s="137" t="s">
        <v>181</v>
      </c>
      <c r="D242" s="133" t="s">
        <v>40</v>
      </c>
      <c r="E242" s="134" t="s">
        <v>2107</v>
      </c>
      <c r="F242" s="133" t="s">
        <v>2064</v>
      </c>
      <c r="G242" s="135" t="str">
        <f>VLOOKUP(A242,Plano_V3!$A$26:$G$759,7,0)</f>
        <v>2.2 Em especificação</v>
      </c>
      <c r="H242" s="135" t="s">
        <v>614</v>
      </c>
      <c r="I242" s="142" t="s">
        <v>2375</v>
      </c>
      <c r="J242" s="388" t="s">
        <v>2375</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3" t="s">
        <v>2343</v>
      </c>
      <c r="U242" s="331" t="s">
        <v>2327</v>
      </c>
    </row>
    <row r="243" spans="1:21" ht="16.350000000000001" hidden="1" customHeight="1">
      <c r="A243" s="29" t="str">
        <f t="shared" si="4"/>
        <v>modesg_param_sfics_taxon_europeiaproperty_purpose_code</v>
      </c>
      <c r="B243" s="141" t="s">
        <v>26</v>
      </c>
      <c r="C243" s="137" t="s">
        <v>181</v>
      </c>
      <c r="D243" s="133" t="s">
        <v>40</v>
      </c>
      <c r="E243" s="134" t="s">
        <v>2107</v>
      </c>
      <c r="F243" s="133" t="s">
        <v>2061</v>
      </c>
      <c r="G243" s="135" t="str">
        <f>VLOOKUP(A243,Plano_V3!$A$26:$G$759,7,0)</f>
        <v>2.2 Em especificação</v>
      </c>
      <c r="H243" s="135" t="s">
        <v>614</v>
      </c>
      <c r="I243" s="153" t="s">
        <v>2375</v>
      </c>
      <c r="J243" s="388" t="s">
        <v>2375</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3" t="s">
        <v>2343</v>
      </c>
      <c r="U243" s="331" t="s">
        <v>2327</v>
      </c>
    </row>
    <row r="244" spans="1:21" ht="16.350000000000001" hidden="1" customHeight="1">
      <c r="A244" s="29" t="str">
        <f t="shared" si="4"/>
        <v>modesg_param_sfics_taxon_europeiacfamilia</v>
      </c>
      <c r="B244" s="141" t="s">
        <v>26</v>
      </c>
      <c r="C244" s="137" t="s">
        <v>181</v>
      </c>
      <c r="D244" s="133" t="s">
        <v>40</v>
      </c>
      <c r="E244" s="134" t="s">
        <v>2107</v>
      </c>
      <c r="F244" s="133" t="s">
        <v>2060</v>
      </c>
      <c r="G244" s="135" t="str">
        <f>VLOOKUP(A244,Plano_V3!$A$26:$G$759,7,0)</f>
        <v>2.2 Em especificação</v>
      </c>
      <c r="H244" s="135" t="s">
        <v>614</v>
      </c>
      <c r="I244" s="153" t="s">
        <v>2375</v>
      </c>
      <c r="J244" s="388" t="s">
        <v>2375</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3" t="s">
        <v>2343</v>
      </c>
      <c r="U244" s="331" t="s">
        <v>2327</v>
      </c>
    </row>
    <row r="245" spans="1:21" ht="16.350000000000001" hidden="1" customHeight="1">
      <c r="A245" s="29" t="str">
        <f t="shared" si="4"/>
        <v>modesg_param_sfics_taxon_europeiacfinalidad</v>
      </c>
      <c r="B245" s="141" t="s">
        <v>26</v>
      </c>
      <c r="C245" s="137" t="s">
        <v>181</v>
      </c>
      <c r="D245" s="133" t="s">
        <v>40</v>
      </c>
      <c r="E245" s="134" t="s">
        <v>2107</v>
      </c>
      <c r="F245" s="133" t="s">
        <v>200</v>
      </c>
      <c r="G245" s="135" t="str">
        <f>VLOOKUP(A245,Plano_V3!$A$26:$G$759,7,0)</f>
        <v>2.2 Em especificação</v>
      </c>
      <c r="H245" s="135" t="s">
        <v>614</v>
      </c>
      <c r="I245" s="153" t="s">
        <v>2375</v>
      </c>
      <c r="J245" s="388" t="s">
        <v>2375</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3" t="s">
        <v>2341</v>
      </c>
      <c r="U245" s="331" t="s">
        <v>2327</v>
      </c>
    </row>
    <row r="246" spans="1:21" ht="16.350000000000001" hidden="1" customHeight="1">
      <c r="A246" s="29" t="str">
        <f t="shared" si="4"/>
        <v>modesg_param_sfics_taxon_europeiaflag_project_finance</v>
      </c>
      <c r="B246" s="141" t="s">
        <v>26</v>
      </c>
      <c r="C246" s="137" t="s">
        <v>181</v>
      </c>
      <c r="D246" s="133" t="s">
        <v>40</v>
      </c>
      <c r="E246" s="134" t="s">
        <v>2107</v>
      </c>
      <c r="F246" s="133" t="s">
        <v>199</v>
      </c>
      <c r="G246" s="135" t="str">
        <f>VLOOKUP(A246,Plano_V3!$A$26:$G$759,7,0)</f>
        <v>2.2 Em especificação</v>
      </c>
      <c r="H246" s="135" t="s">
        <v>614</v>
      </c>
      <c r="I246" s="143" t="s">
        <v>2375</v>
      </c>
      <c r="J246" s="388" t="s">
        <v>2375</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3" t="s">
        <v>2341</v>
      </c>
      <c r="U246" s="331" t="s">
        <v>2327</v>
      </c>
    </row>
    <row r="247" spans="1:21" ht="16.350000000000001" hidden="1" customHeight="1">
      <c r="A247" s="29" t="str">
        <f t="shared" si="4"/>
        <v>modesg_param_sfics_taxon_europeiatipo_eqp</v>
      </c>
      <c r="B247" s="141" t="s">
        <v>26</v>
      </c>
      <c r="C247" s="137" t="s">
        <v>181</v>
      </c>
      <c r="D247" s="133" t="s">
        <v>40</v>
      </c>
      <c r="E247" s="134" t="s">
        <v>2107</v>
      </c>
      <c r="F247" s="133" t="s">
        <v>2063</v>
      </c>
      <c r="G247" s="135" t="str">
        <f>VLOOKUP(A247,Plano_V3!$A$26:$G$759,7,0)</f>
        <v>2.2 Em especificação</v>
      </c>
      <c r="H247" s="135" t="s">
        <v>614</v>
      </c>
      <c r="I247" s="143" t="s">
        <v>2375</v>
      </c>
      <c r="J247" s="388" t="s">
        <v>2375</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3" t="s">
        <v>2343</v>
      </c>
      <c r="U247" s="331" t="s">
        <v>2327</v>
      </c>
    </row>
    <row r="248" spans="1:21" ht="16.350000000000001" hidden="1" customHeight="1">
      <c r="A248" s="29" t="str">
        <f t="shared" si="4"/>
        <v>modesg_param_sfics_taxon_europeiacombustivel</v>
      </c>
      <c r="B248" s="141" t="s">
        <v>26</v>
      </c>
      <c r="C248" s="137" t="s">
        <v>181</v>
      </c>
      <c r="D248" s="133" t="s">
        <v>40</v>
      </c>
      <c r="E248" s="134" t="s">
        <v>2107</v>
      </c>
      <c r="F248" s="133" t="s">
        <v>2058</v>
      </c>
      <c r="G248" s="135" t="str">
        <f>VLOOKUP(A248,Plano_V3!$A$26:$G$759,7,0)</f>
        <v>2.2 Em especificação</v>
      </c>
      <c r="H248" s="135" t="s">
        <v>614</v>
      </c>
      <c r="I248" s="143" t="s">
        <v>2375</v>
      </c>
      <c r="J248" s="388" t="s">
        <v>2375</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3" t="s">
        <v>2401</v>
      </c>
      <c r="U248" s="331" t="s">
        <v>2327</v>
      </c>
    </row>
    <row r="249" spans="1:21" ht="16.350000000000001" hidden="1" customHeight="1">
      <c r="A249" s="29" t="str">
        <f t="shared" si="4"/>
        <v>modesg_param_sfics_taxon_europeiaco2</v>
      </c>
      <c r="B249" s="141" t="s">
        <v>26</v>
      </c>
      <c r="C249" s="137" t="s">
        <v>181</v>
      </c>
      <c r="D249" s="133" t="s">
        <v>40</v>
      </c>
      <c r="E249" s="134" t="s">
        <v>2107</v>
      </c>
      <c r="F249" s="377" t="s">
        <v>2059</v>
      </c>
      <c r="G249" s="135" t="str">
        <f>VLOOKUP(A249,Plano_V3!$A$26:$G$759,7,0)</f>
        <v>2.2 Em especificação</v>
      </c>
      <c r="H249" s="135" t="s">
        <v>614</v>
      </c>
      <c r="I249" s="142" t="s">
        <v>2375</v>
      </c>
      <c r="J249" s="388" t="s">
        <v>2375</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3" t="s">
        <v>2401</v>
      </c>
      <c r="U249" s="331" t="s">
        <v>2327</v>
      </c>
    </row>
    <row r="250" spans="1:21" ht="16.350000000000001" hidden="1" customHeight="1">
      <c r="A250" s="29" t="str">
        <f t="shared" si="4"/>
        <v>modesg_param_sfics_taxon_europeiacod_lease</v>
      </c>
      <c r="B250" s="141" t="s">
        <v>26</v>
      </c>
      <c r="C250" s="137" t="s">
        <v>181</v>
      </c>
      <c r="D250" s="133" t="s">
        <v>40</v>
      </c>
      <c r="E250" s="134" t="s">
        <v>2107</v>
      </c>
      <c r="F250" s="133" t="s">
        <v>190</v>
      </c>
      <c r="G250" s="135" t="str">
        <f>VLOOKUP(A250,Plano_V3!$A$26:$G$759,7,0)</f>
        <v>2.2 Em especificação</v>
      </c>
      <c r="H250" s="135" t="s">
        <v>614</v>
      </c>
      <c r="I250" s="142" t="s">
        <v>2375</v>
      </c>
      <c r="J250" s="388" t="s">
        <v>2375</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3" t="s">
        <v>2341</v>
      </c>
      <c r="U250" s="331" t="s">
        <v>2327</v>
      </c>
    </row>
    <row r="251" spans="1:21" ht="16.350000000000001" hidden="1" customHeight="1">
      <c r="A251" s="29" t="str">
        <f t="shared" si="4"/>
        <v>modesg_param_sfics_taxon_europeiadabertur</v>
      </c>
      <c r="B251" s="141" t="s">
        <v>26</v>
      </c>
      <c r="C251" s="137" t="s">
        <v>181</v>
      </c>
      <c r="D251" s="133" t="s">
        <v>40</v>
      </c>
      <c r="E251" s="134" t="s">
        <v>2107</v>
      </c>
      <c r="F251" s="133" t="s">
        <v>2062</v>
      </c>
      <c r="G251" s="135" t="str">
        <f>VLOOKUP(A251,Plano_V3!$A$26:$G$759,7,0)</f>
        <v>2.2 Em especificação</v>
      </c>
      <c r="H251" s="135" t="s">
        <v>614</v>
      </c>
      <c r="I251" s="153" t="s">
        <v>2375</v>
      </c>
      <c r="J251" s="388" t="s">
        <v>2375</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3" t="s">
        <v>2343</v>
      </c>
      <c r="U251" s="331" t="s">
        <v>2327</v>
      </c>
    </row>
    <row r="252" spans="1:21" ht="16.350000000000001" hidden="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3" t="s">
        <v>2341</v>
      </c>
      <c r="U252" s="331"/>
    </row>
    <row r="253" spans="1:21" ht="16.350000000000001" hidden="1" customHeight="1">
      <c r="A253" s="29" t="str">
        <f t="shared" si="4"/>
        <v>modesg_param_sfics_taxon_europeianivel_mrc</v>
      </c>
      <c r="B253" s="141" t="s">
        <v>26</v>
      </c>
      <c r="C253" s="137" t="s">
        <v>181</v>
      </c>
      <c r="D253" s="133" t="s">
        <v>40</v>
      </c>
      <c r="E253" s="134" t="s">
        <v>2107</v>
      </c>
      <c r="F253" s="133" t="s">
        <v>2396</v>
      </c>
      <c r="G253" s="135" t="str">
        <f>VLOOKUP(A253,Plano_V3!$A$26:$G$759,7,0)</f>
        <v>0. Cancelado</v>
      </c>
      <c r="H253" s="135" t="s">
        <v>611</v>
      </c>
      <c r="I253" s="153"/>
      <c r="J253" s="388"/>
      <c r="K253" s="153"/>
      <c r="L253" s="152"/>
      <c r="M253" s="152"/>
      <c r="N253" s="152"/>
      <c r="O253" s="205"/>
      <c r="P253" s="205"/>
      <c r="Q253" s="205"/>
      <c r="R253" s="332"/>
      <c r="S253" s="332"/>
      <c r="T253" s="403" t="s">
        <v>2341</v>
      </c>
      <c r="U253" s="331"/>
    </row>
    <row r="254" spans="1:21" ht="16.350000000000001" hidden="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611</v>
      </c>
      <c r="I254" s="153"/>
      <c r="J254" s="388"/>
      <c r="K254" s="153"/>
      <c r="L254" s="152"/>
      <c r="M254" s="152"/>
      <c r="N254" s="152"/>
      <c r="O254" s="205"/>
      <c r="P254" s="205"/>
      <c r="Q254" s="205"/>
      <c r="R254" s="332"/>
      <c r="S254" s="332"/>
      <c r="T254" s="403" t="s">
        <v>2341</v>
      </c>
      <c r="U254" s="331"/>
    </row>
    <row r="255" spans="1:21" ht="16.350000000000001" hidden="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611</v>
      </c>
      <c r="I255" s="153"/>
      <c r="J255" s="388"/>
      <c r="K255" s="153"/>
      <c r="L255" s="152"/>
      <c r="M255" s="152"/>
      <c r="N255" s="152"/>
      <c r="O255" s="205"/>
      <c r="P255" s="205"/>
      <c r="Q255" s="205"/>
      <c r="R255" s="332"/>
      <c r="S255" s="332"/>
      <c r="T255" s="403" t="s">
        <v>2341</v>
      </c>
      <c r="U255" s="331"/>
    </row>
    <row r="256" spans="1:21" ht="16.350000000000001" hidden="1" customHeight="1">
      <c r="A256" s="29" t="str">
        <f t="shared" si="4"/>
        <v>modesg_param_sfics_taxon_europeiaflg_csrd</v>
      </c>
      <c r="B256" s="141" t="s">
        <v>26</v>
      </c>
      <c r="C256" s="137" t="s">
        <v>181</v>
      </c>
      <c r="D256" s="133" t="s">
        <v>40</v>
      </c>
      <c r="E256" s="134" t="s">
        <v>2107</v>
      </c>
      <c r="F256" s="133" t="s">
        <v>2057</v>
      </c>
      <c r="G256" s="135" t="str">
        <f>VLOOKUP(A256,Plano_V3!$A$26:$G$759,7,0)</f>
        <v>2.2 Em especificação</v>
      </c>
      <c r="H256" s="135" t="s">
        <v>614</v>
      </c>
      <c r="I256" s="153" t="s">
        <v>2375</v>
      </c>
      <c r="J256" s="388" t="s">
        <v>2375</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3" t="s">
        <v>2343</v>
      </c>
      <c r="U256" s="331" t="s">
        <v>2327</v>
      </c>
    </row>
    <row r="257" spans="1:21" ht="16.350000000000001" hidden="1" customHeight="1">
      <c r="A257" s="29" t="str">
        <f t="shared" si="4"/>
        <v>modesg_param_sfics_taxon_europeianome_ctgr_sfics</v>
      </c>
      <c r="B257" s="141" t="s">
        <v>26</v>
      </c>
      <c r="C257" s="137" t="s">
        <v>181</v>
      </c>
      <c r="D257" s="133" t="s">
        <v>40</v>
      </c>
      <c r="E257" s="134" t="s">
        <v>2107</v>
      </c>
      <c r="F257" s="133" t="s">
        <v>2055</v>
      </c>
      <c r="G257" s="135" t="str">
        <f>VLOOKUP(A257,Plano_V3!$A$26:$G$759,7,0)</f>
        <v>2.2 Em especificação</v>
      </c>
      <c r="H257" s="135" t="s">
        <v>614</v>
      </c>
      <c r="I257" s="153" t="s">
        <v>2375</v>
      </c>
      <c r="J257" s="388" t="s">
        <v>2375</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3" t="s">
        <v>2341</v>
      </c>
      <c r="U257" s="331" t="s">
        <v>2327</v>
      </c>
    </row>
    <row r="258" spans="1:21" ht="16.350000000000001" hidden="1" customHeight="1">
      <c r="A258" s="29" t="str">
        <f t="shared" si="4"/>
        <v>modesg_param_sfics_taxon_europeiamontante_pndrc</v>
      </c>
      <c r="B258" s="141" t="s">
        <v>26</v>
      </c>
      <c r="C258" s="137" t="s">
        <v>181</v>
      </c>
      <c r="D258" s="133" t="s">
        <v>40</v>
      </c>
      <c r="E258" s="134" t="s">
        <v>2107</v>
      </c>
      <c r="F258" s="133" t="s">
        <v>202</v>
      </c>
      <c r="G258" s="135" t="str">
        <f>VLOOKUP(A258,Plano_V3!$A$26:$G$759,7,0)</f>
        <v>2.2 Em especificação</v>
      </c>
      <c r="H258" s="135" t="s">
        <v>614</v>
      </c>
      <c r="I258" s="153" t="s">
        <v>2375</v>
      </c>
      <c r="J258" s="388" t="s">
        <v>2375</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3" t="s">
        <v>2341</v>
      </c>
      <c r="U258" s="331" t="s">
        <v>2327</v>
      </c>
    </row>
    <row r="259" spans="1:21" ht="16.350000000000001" hidden="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2.2 Em especificação</v>
      </c>
      <c r="H259" s="135" t="s">
        <v>614</v>
      </c>
      <c r="I259" s="153" t="s">
        <v>2375</v>
      </c>
      <c r="J259" s="388" t="s">
        <v>2375</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3" t="s">
        <v>2401</v>
      </c>
      <c r="U259" s="331" t="s">
        <v>2327</v>
      </c>
    </row>
    <row r="260" spans="1:21" ht="16.350000000000001" hidden="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2.2 Em especificação</v>
      </c>
      <c r="H260" s="135" t="s">
        <v>614</v>
      </c>
      <c r="I260" s="153" t="s">
        <v>2375</v>
      </c>
      <c r="J260" s="388" t="s">
        <v>2375</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3" t="s">
        <v>2343</v>
      </c>
      <c r="U260" s="331" t="s">
        <v>2327</v>
      </c>
    </row>
    <row r="261" spans="1:21" ht="16.350000000000001" hidden="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2.2 Em especificação</v>
      </c>
      <c r="H261" s="135" t="s">
        <v>614</v>
      </c>
      <c r="I261" s="153" t="s">
        <v>2375</v>
      </c>
      <c r="J261" s="388" t="s">
        <v>2375</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3" t="s">
        <v>2341</v>
      </c>
      <c r="U261" s="331" t="s">
        <v>2327</v>
      </c>
    </row>
    <row r="262" spans="1:21" ht="16.350000000000001" hidden="1" customHeight="1">
      <c r="A262" s="29" t="str">
        <f t="shared" si="4"/>
        <v>modesg_param_sfics_taxon_europeianome_specific_eligible</v>
      </c>
      <c r="B262" s="141" t="s">
        <v>26</v>
      </c>
      <c r="C262" s="137" t="s">
        <v>181</v>
      </c>
      <c r="D262" s="133" t="s">
        <v>40</v>
      </c>
      <c r="E262" s="134" t="s">
        <v>2107</v>
      </c>
      <c r="F262" s="133" t="s">
        <v>206</v>
      </c>
      <c r="G262" s="135" t="str">
        <f>VLOOKUP(A262,Plano_V3!$A$26:$G$759,7,0)</f>
        <v>2.2 Em especificação</v>
      </c>
      <c r="H262" s="135" t="s">
        <v>614</v>
      </c>
      <c r="I262" s="153" t="s">
        <v>2375</v>
      </c>
      <c r="J262" s="388" t="s">
        <v>2375</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3" t="s">
        <v>2341</v>
      </c>
      <c r="U262" s="331" t="s">
        <v>2327</v>
      </c>
    </row>
    <row r="263" spans="1:21" ht="16.350000000000001" hidden="1" customHeight="1">
      <c r="A263" s="29" t="str">
        <f t="shared" si="4"/>
        <v>modesg_param_sfics_taxon_europeianome_specific_sustainable</v>
      </c>
      <c r="B263" s="141" t="s">
        <v>26</v>
      </c>
      <c r="C263" s="137" t="s">
        <v>181</v>
      </c>
      <c r="D263" s="133" t="s">
        <v>40</v>
      </c>
      <c r="E263" s="134" t="s">
        <v>2107</v>
      </c>
      <c r="F263" s="133" t="s">
        <v>207</v>
      </c>
      <c r="G263" s="135" t="str">
        <f>VLOOKUP(A263,Plano_V3!$A$26:$G$759,7,0)</f>
        <v>2.2 Em especificação</v>
      </c>
      <c r="H263" s="135" t="s">
        <v>614</v>
      </c>
      <c r="I263" s="153" t="s">
        <v>2375</v>
      </c>
      <c r="J263" s="388" t="s">
        <v>2375</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3" t="s">
        <v>2341</v>
      </c>
      <c r="U263" s="331" t="s">
        <v>2327</v>
      </c>
    </row>
    <row r="264" spans="1:21" ht="16.350000000000001" hidden="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3" t="s">
        <v>2341</v>
      </c>
      <c r="U264" s="331"/>
    </row>
    <row r="265" spans="1:21" ht="16.350000000000001" hidden="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3" t="s">
        <v>2341</v>
      </c>
      <c r="U265" s="331"/>
    </row>
    <row r="266" spans="1:21" ht="16.350000000000001" hidden="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3" t="s">
        <v>2341</v>
      </c>
      <c r="U266" s="331"/>
    </row>
    <row r="267" spans="1:21" ht="16.350000000000001" hidden="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3" t="s">
        <v>2341</v>
      </c>
      <c r="U267" s="331"/>
    </row>
    <row r="268" spans="1:21" ht="16.350000000000001" hidden="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3" t="s">
        <v>2341</v>
      </c>
      <c r="U268" s="331"/>
    </row>
    <row r="269" spans="1:21" ht="16.350000000000001" hidden="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3" t="s">
        <v>2341</v>
      </c>
      <c r="U269" s="331"/>
    </row>
    <row r="270" spans="1:21" ht="16.350000000000001" hidden="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3" t="s">
        <v>2341</v>
      </c>
      <c r="U270" s="331"/>
    </row>
    <row r="271" spans="1:21" ht="16.350000000000001" hidden="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3" t="s">
        <v>2341</v>
      </c>
      <c r="U271" s="331"/>
    </row>
    <row r="272" spans="1:21" ht="16.350000000000001" hidden="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3" t="s">
        <v>2341</v>
      </c>
      <c r="U272" s="331"/>
    </row>
    <row r="273" spans="1:21" ht="16.350000000000001" hidden="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3" t="s">
        <v>2341</v>
      </c>
      <c r="U273" s="331"/>
    </row>
    <row r="274" spans="1:21" ht="16.350000000000001" hidden="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3" t="s">
        <v>2341</v>
      </c>
      <c r="U274" s="331"/>
    </row>
    <row r="275" spans="1:21" ht="16.350000000000001" hidden="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3" t="s">
        <v>2341</v>
      </c>
      <c r="U275" s="331"/>
    </row>
    <row r="276" spans="1:21" ht="16.350000000000001" hidden="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3" t="s">
        <v>2341</v>
      </c>
      <c r="U276" s="331"/>
    </row>
    <row r="277" spans="1:21" ht="16.350000000000001" hidden="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3" t="s">
        <v>2341</v>
      </c>
      <c r="U277" s="331"/>
    </row>
    <row r="278" spans="1:21" ht="16.350000000000001" hidden="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3" t="s">
        <v>2341</v>
      </c>
      <c r="U278" s="331"/>
    </row>
    <row r="279" spans="1:21" ht="16.350000000000001" hidden="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3" t="s">
        <v>2341</v>
      </c>
      <c r="U279" s="331"/>
    </row>
    <row r="280" spans="1:21" ht="16.350000000000001" hidden="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3" t="s">
        <v>2341</v>
      </c>
      <c r="U280" s="331"/>
    </row>
    <row r="281" spans="1:21" ht="16.350000000000001" hidden="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3" t="s">
        <v>2341</v>
      </c>
      <c r="U281" s="331"/>
    </row>
    <row r="282" spans="1:21" ht="16.350000000000001" hidden="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3" t="s">
        <v>2341</v>
      </c>
      <c r="U282" s="331"/>
    </row>
    <row r="283" spans="1:21" ht="16.350000000000001" hidden="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3" t="s">
        <v>2341</v>
      </c>
      <c r="U283" s="331"/>
    </row>
    <row r="284" spans="1:21" ht="16.350000000000001" hidden="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3" t="s">
        <v>2341</v>
      </c>
      <c r="U284" s="331"/>
    </row>
    <row r="285" spans="1:21" ht="16.350000000000001" hidden="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3" t="s">
        <v>2341</v>
      </c>
      <c r="U285" s="331"/>
    </row>
    <row r="286" spans="1:21" ht="16.350000000000001" hidden="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3" t="s">
        <v>2341</v>
      </c>
      <c r="U286" s="331"/>
    </row>
    <row r="287" spans="1:21" ht="16.350000000000001" hidden="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3" t="s">
        <v>2341</v>
      </c>
      <c r="U287" s="331"/>
    </row>
    <row r="288" spans="1:21" ht="16.350000000000001" hidden="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3" t="s">
        <v>2341</v>
      </c>
      <c r="U288" s="331"/>
    </row>
    <row r="289" spans="1:21" ht="16.350000000000001" hidden="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3" t="s">
        <v>2341</v>
      </c>
      <c r="U289" s="331"/>
    </row>
    <row r="290" spans="1:21" ht="16.350000000000001" hidden="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3" t="s">
        <v>2341</v>
      </c>
      <c r="U290" s="331"/>
    </row>
    <row r="291" spans="1:21" ht="16.350000000000001" hidden="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3" t="s">
        <v>2341</v>
      </c>
      <c r="U291" s="331"/>
    </row>
    <row r="292" spans="1:21" ht="16.350000000000001" hidden="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3" t="s">
        <v>2341</v>
      </c>
      <c r="U292" s="331"/>
    </row>
    <row r="293" spans="1:21" ht="16.350000000000001" hidden="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3" t="s">
        <v>2341</v>
      </c>
      <c r="U293" s="331"/>
    </row>
    <row r="294" spans="1:21" ht="16.350000000000001" hidden="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3" t="s">
        <v>2341</v>
      </c>
      <c r="U294" s="331"/>
    </row>
    <row r="295" spans="1:21" ht="16.350000000000001" hidden="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3" t="s">
        <v>2341</v>
      </c>
      <c r="U295" s="331"/>
    </row>
    <row r="296" spans="1:21" ht="16.350000000000001" hidden="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3" t="s">
        <v>2341</v>
      </c>
      <c r="U296" s="331"/>
    </row>
    <row r="297" spans="1:21" ht="16.350000000000001" hidden="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3" t="s">
        <v>2341</v>
      </c>
      <c r="U297" s="331"/>
    </row>
    <row r="298" spans="1:21" ht="16.350000000000001" hidden="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3" t="s">
        <v>2341</v>
      </c>
      <c r="U298" s="331"/>
    </row>
    <row r="299" spans="1:21" ht="16.350000000000001" hidden="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3" t="s">
        <v>2341</v>
      </c>
      <c r="U299" s="331"/>
    </row>
    <row r="300" spans="1:21" ht="16.350000000000001" hidden="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3" t="s">
        <v>2341</v>
      </c>
      <c r="U300" s="331"/>
    </row>
    <row r="301" spans="1:21" ht="16.350000000000001" hidden="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3" t="s">
        <v>2341</v>
      </c>
      <c r="U301" s="331"/>
    </row>
    <row r="302" spans="1:21" ht="16.350000000000001" hidden="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3" t="s">
        <v>2341</v>
      </c>
      <c r="U302" s="331"/>
    </row>
    <row r="303" spans="1:21" ht="16.350000000000001" hidden="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3" t="s">
        <v>2341</v>
      </c>
      <c r="U303" s="331"/>
    </row>
    <row r="304" spans="1:21" ht="16.350000000000001" hidden="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3" t="s">
        <v>2341</v>
      </c>
      <c r="U304" s="331"/>
    </row>
    <row r="305" spans="1:21" ht="16.350000000000001" hidden="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3" t="s">
        <v>2341</v>
      </c>
      <c r="U305" s="331"/>
    </row>
    <row r="306" spans="1:21" ht="16.350000000000001" hidden="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3" t="s">
        <v>2341</v>
      </c>
      <c r="U306" s="331"/>
    </row>
    <row r="307" spans="1:21" ht="16.350000000000001" hidden="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3" t="s">
        <v>2341</v>
      </c>
      <c r="U307" s="331"/>
    </row>
    <row r="308" spans="1:21" ht="16.350000000000001" hidden="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3" t="s">
        <v>2341</v>
      </c>
      <c r="U308" s="331"/>
    </row>
    <row r="309" spans="1:21" ht="16.350000000000001" hidden="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3" t="s">
        <v>2341</v>
      </c>
      <c r="U309" s="331"/>
    </row>
    <row r="310" spans="1:21" ht="16.350000000000001" hidden="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3" t="s">
        <v>2341</v>
      </c>
      <c r="U310" s="331"/>
    </row>
    <row r="311" spans="1:21" ht="16.350000000000001" hidden="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3" t="s">
        <v>2341</v>
      </c>
      <c r="U311" s="331"/>
    </row>
    <row r="312" spans="1:21" ht="16.350000000000001" hidden="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3" t="s">
        <v>2341</v>
      </c>
      <c r="U312" s="331"/>
    </row>
    <row r="313" spans="1:21" ht="16.350000000000001" hidden="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3" t="s">
        <v>2341</v>
      </c>
      <c r="U313" s="331"/>
    </row>
    <row r="314" spans="1:21" ht="16.350000000000001" hidden="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3" t="s">
        <v>2341</v>
      </c>
      <c r="U314" s="331"/>
    </row>
    <row r="315" spans="1:21" ht="16.350000000000001" hidden="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3" t="s">
        <v>2341</v>
      </c>
      <c r="U315" s="331"/>
    </row>
    <row r="316" spans="1:21" ht="16.350000000000001" hidden="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3" t="s">
        <v>2341</v>
      </c>
      <c r="U316" s="331"/>
    </row>
    <row r="317" spans="1:21" ht="16.350000000000001" hidden="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3" t="s">
        <v>2341</v>
      </c>
      <c r="U317" s="331"/>
    </row>
    <row r="318" spans="1:21" ht="16.350000000000001" hidden="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3" t="s">
        <v>2341</v>
      </c>
      <c r="U318" s="331"/>
    </row>
    <row r="319" spans="1:21" ht="16.350000000000001" hidden="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3" t="s">
        <v>2341</v>
      </c>
      <c r="U319" s="331"/>
    </row>
    <row r="320" spans="1:21" ht="16.350000000000001" hidden="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3" t="s">
        <v>2341</v>
      </c>
      <c r="U320" s="331"/>
    </row>
    <row r="321" spans="1:21" ht="16.350000000000001" hidden="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3" t="s">
        <v>2341</v>
      </c>
      <c r="U321" s="331"/>
    </row>
    <row r="322" spans="1:21" ht="16.350000000000001" hidden="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3" t="s">
        <v>2341</v>
      </c>
      <c r="U322" s="331"/>
    </row>
    <row r="323" spans="1:21" ht="16.350000000000001" hidden="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3" t="s">
        <v>2341</v>
      </c>
      <c r="U323" s="331"/>
    </row>
    <row r="324" spans="1:21" ht="16.350000000000001" hidden="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3" t="s">
        <v>2341</v>
      </c>
      <c r="U324" s="331"/>
    </row>
    <row r="325" spans="1:21" ht="16.350000000000001" hidden="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3" t="s">
        <v>2341</v>
      </c>
      <c r="U325" s="331"/>
    </row>
    <row r="326" spans="1:21" ht="16.350000000000001" hidden="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3" t="s">
        <v>2341</v>
      </c>
      <c r="U326" s="331"/>
    </row>
    <row r="327" spans="1:21" ht="16.350000000000001" hidden="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3" t="s">
        <v>2341</v>
      </c>
      <c r="U327" s="331"/>
    </row>
    <row r="328" spans="1:21" ht="16.350000000000001" hidden="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3" t="s">
        <v>2341</v>
      </c>
      <c r="U328" s="331"/>
    </row>
    <row r="329" spans="1:21" ht="16.350000000000001" hidden="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3" t="s">
        <v>2341</v>
      </c>
      <c r="U329" s="331"/>
    </row>
    <row r="330" spans="1:21" ht="16.350000000000001" hidden="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3" t="s">
        <v>2341</v>
      </c>
      <c r="U330" s="331"/>
    </row>
    <row r="331" spans="1:21" ht="16.350000000000001" hidden="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3" t="s">
        <v>2341</v>
      </c>
      <c r="U331" s="331"/>
    </row>
    <row r="332" spans="1:21" ht="16.350000000000001" hidden="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3" t="s">
        <v>2341</v>
      </c>
      <c r="U332" s="331"/>
    </row>
    <row r="333" spans="1:21" ht="16.350000000000001" hidden="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3" t="s">
        <v>2341</v>
      </c>
      <c r="U333" s="331"/>
    </row>
    <row r="334" spans="1:21" ht="16.350000000000001" hidden="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3" t="s">
        <v>2341</v>
      </c>
      <c r="U334" s="331"/>
    </row>
    <row r="335" spans="1:21" ht="16.350000000000001" hidden="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3" t="s">
        <v>2341</v>
      </c>
      <c r="U335" s="331"/>
    </row>
    <row r="336" spans="1:21" ht="16.350000000000001" hidden="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3" t="s">
        <v>2341</v>
      </c>
      <c r="U336" s="331"/>
    </row>
    <row r="337" spans="1:21" ht="16.350000000000001" hidden="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3" t="s">
        <v>2341</v>
      </c>
      <c r="U337" s="331"/>
    </row>
    <row r="338" spans="1:21" ht="16.350000000000001" hidden="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3" t="s">
        <v>2341</v>
      </c>
      <c r="U338" s="331"/>
    </row>
    <row r="339" spans="1:21" ht="16.350000000000001" hidden="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3" t="s">
        <v>2341</v>
      </c>
      <c r="U339" s="331"/>
    </row>
    <row r="340" spans="1:21" ht="16.350000000000001" hidden="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3" t="s">
        <v>2341</v>
      </c>
      <c r="U340" s="331"/>
    </row>
    <row r="341" spans="1:21" ht="16.350000000000001" hidden="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3" t="s">
        <v>2341</v>
      </c>
      <c r="U341" s="331"/>
    </row>
    <row r="342" spans="1:21" ht="16.350000000000001" hidden="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3" t="s">
        <v>2341</v>
      </c>
      <c r="U342" s="331"/>
    </row>
    <row r="343" spans="1:21" ht="16.350000000000001" hidden="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3" t="s">
        <v>2341</v>
      </c>
      <c r="U343" s="331"/>
    </row>
    <row r="344" spans="1:21" ht="16.350000000000001" hidden="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3" t="s">
        <v>2341</v>
      </c>
      <c r="U344" s="331"/>
    </row>
    <row r="345" spans="1:21" ht="16.350000000000001" hidden="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3" t="s">
        <v>2341</v>
      </c>
      <c r="U345" s="331"/>
    </row>
    <row r="346" spans="1:21" ht="16.350000000000001" hidden="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3" t="s">
        <v>2341</v>
      </c>
      <c r="U346" s="331"/>
    </row>
    <row r="347" spans="1:21" ht="16.350000000000001" hidden="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3" t="s">
        <v>2341</v>
      </c>
      <c r="U347" s="331"/>
    </row>
    <row r="348" spans="1:21" ht="16.350000000000001" hidden="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3" t="s">
        <v>2341</v>
      </c>
      <c r="U348" s="331"/>
    </row>
    <row r="349" spans="1:21" ht="16.350000000000001" hidden="1" customHeight="1">
      <c r="A349" s="29" t="str">
        <f t="shared" si="6"/>
        <v>modesg_inp_risco_fisico_zipcodecod_pais</v>
      </c>
      <c r="B349" s="141" t="s">
        <v>26</v>
      </c>
      <c r="C349" s="137" t="s">
        <v>181</v>
      </c>
      <c r="D349" s="133" t="s">
        <v>40</v>
      </c>
      <c r="E349" s="134" t="s">
        <v>2171</v>
      </c>
      <c r="F349" s="133" t="s">
        <v>279</v>
      </c>
      <c r="G349" s="135" t="str">
        <f>VLOOKUP(A349,Plano_V3!$A$26:$G$759,7,0)</f>
        <v xml:space="preserve">6. Em implementação </v>
      </c>
      <c r="H349" s="135" t="s">
        <v>28</v>
      </c>
      <c r="I349" s="399" t="s">
        <v>2325</v>
      </c>
      <c r="J349" s="388" t="s">
        <v>2375</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3"/>
      <c r="S349" s="403"/>
      <c r="T349" s="403" t="s">
        <v>2342</v>
      </c>
      <c r="U349" s="331" t="s">
        <v>1864</v>
      </c>
    </row>
    <row r="350" spans="1:21" ht="16.350000000000001" hidden="1" customHeight="1">
      <c r="A350" s="29" t="str">
        <f t="shared" si="6"/>
        <v>modesg_inp_risco_fisico_zipcodelocalizacao</v>
      </c>
      <c r="B350" s="141" t="s">
        <v>26</v>
      </c>
      <c r="C350" s="137" t="s">
        <v>181</v>
      </c>
      <c r="D350" s="133" t="s">
        <v>40</v>
      </c>
      <c r="E350" s="134" t="s">
        <v>2171</v>
      </c>
      <c r="F350" s="133" t="s">
        <v>2172</v>
      </c>
      <c r="G350" s="135" t="str">
        <f>VLOOKUP(A350,Plano_V3!$A$26:$G$759,7,0)</f>
        <v xml:space="preserve">6. Em implementação </v>
      </c>
      <c r="H350" s="135" t="s">
        <v>28</v>
      </c>
      <c r="I350" s="399" t="s">
        <v>2325</v>
      </c>
      <c r="J350" s="388" t="s">
        <v>2375</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3"/>
      <c r="S350" s="403"/>
      <c r="T350" s="403" t="s">
        <v>2342</v>
      </c>
      <c r="U350" s="331" t="s">
        <v>1864</v>
      </c>
    </row>
    <row r="351" spans="1:21" ht="16.350000000000001" hidden="1" customHeight="1">
      <c r="A351" s="29" t="str">
        <f t="shared" si="6"/>
        <v>modesg_inp_risco_fisico_zipcodecod_nace_esg</v>
      </c>
      <c r="B351" s="141" t="s">
        <v>26</v>
      </c>
      <c r="C351" s="137" t="s">
        <v>181</v>
      </c>
      <c r="D351" s="133" t="s">
        <v>40</v>
      </c>
      <c r="E351" s="134" t="s">
        <v>2171</v>
      </c>
      <c r="F351" s="133" t="s">
        <v>281</v>
      </c>
      <c r="G351" s="135" t="str">
        <f>VLOOKUP(A351,Plano_V3!$A$26:$G$759,7,0)</f>
        <v xml:space="preserve">6. Em implementação </v>
      </c>
      <c r="H351" s="135" t="s">
        <v>28</v>
      </c>
      <c r="I351" s="399" t="s">
        <v>2325</v>
      </c>
      <c r="J351" s="388" t="s">
        <v>2375</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3"/>
      <c r="S351" s="403"/>
      <c r="T351" s="403" t="s">
        <v>2342</v>
      </c>
      <c r="U351" s="331" t="s">
        <v>1864</v>
      </c>
    </row>
    <row r="352" spans="1:21" ht="16.350000000000001" hidden="1" customHeight="1">
      <c r="A352" s="29" t="str">
        <f t="shared" si="6"/>
        <v>modesg_inp_risco_fisico_zipcodeflg_rsc_fsc_agd</v>
      </c>
      <c r="B352" s="141" t="s">
        <v>26</v>
      </c>
      <c r="C352" s="137" t="s">
        <v>181</v>
      </c>
      <c r="D352" s="133" t="s">
        <v>40</v>
      </c>
      <c r="E352" s="134" t="s">
        <v>2171</v>
      </c>
      <c r="F352" s="133" t="s">
        <v>282</v>
      </c>
      <c r="G352" s="135" t="str">
        <f>VLOOKUP(A352,Plano_V3!$A$26:$G$759,7,0)</f>
        <v xml:space="preserve">6. Em implementação </v>
      </c>
      <c r="H352" s="135" t="s">
        <v>28</v>
      </c>
      <c r="I352" s="399" t="s">
        <v>2325</v>
      </c>
      <c r="J352" s="388" t="s">
        <v>2375</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3"/>
      <c r="S352" s="403"/>
      <c r="T352" s="403" t="s">
        <v>2342</v>
      </c>
      <c r="U352" s="331" t="s">
        <v>1864</v>
      </c>
    </row>
    <row r="353" spans="1:21" ht="16.350000000000001" hidden="1" customHeight="1">
      <c r="A353" s="29" t="str">
        <f t="shared" si="6"/>
        <v>modesg_inp_risco_fisico_zipcodeflg_rsc_fsc_crnc</v>
      </c>
      <c r="B353" s="141" t="s">
        <v>26</v>
      </c>
      <c r="C353" s="137" t="s">
        <v>181</v>
      </c>
      <c r="D353" s="133" t="s">
        <v>40</v>
      </c>
      <c r="E353" s="134" t="s">
        <v>2171</v>
      </c>
      <c r="F353" s="133" t="s">
        <v>283</v>
      </c>
      <c r="G353" s="135" t="str">
        <f>VLOOKUP(A353,Plano_V3!$A$26:$G$759,7,0)</f>
        <v xml:space="preserve">6. Em implementação </v>
      </c>
      <c r="H353" s="135" t="s">
        <v>28</v>
      </c>
      <c r="I353" s="399" t="s">
        <v>2325</v>
      </c>
      <c r="J353" s="388" t="s">
        <v>2375</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3"/>
      <c r="S353" s="403"/>
      <c r="T353" s="403" t="s">
        <v>2342</v>
      </c>
      <c r="U353" s="331" t="s">
        <v>1864</v>
      </c>
    </row>
    <row r="354" spans="1:21" ht="16.350000000000001" hidden="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3" t="s">
        <v>2341</v>
      </c>
      <c r="U354" s="331"/>
    </row>
    <row r="355" spans="1:21" ht="16.350000000000001" hidden="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3" t="s">
        <v>2341</v>
      </c>
      <c r="U355" s="331"/>
    </row>
    <row r="356" spans="1:21" ht="16.350000000000001" hidden="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3" t="s">
        <v>2341</v>
      </c>
      <c r="U356" s="331"/>
    </row>
    <row r="357" spans="1:21" ht="16.350000000000001" hidden="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3" t="s">
        <v>2341</v>
      </c>
      <c r="U357" s="331"/>
    </row>
    <row r="358" spans="1:21" ht="16.350000000000001" hidden="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3" t="s">
        <v>2341</v>
      </c>
      <c r="U358" s="331"/>
    </row>
    <row r="359" spans="1:21" ht="16.350000000000001" hidden="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3" t="s">
        <v>2341</v>
      </c>
      <c r="U359" s="331"/>
    </row>
    <row r="360" spans="1:21" ht="16.350000000000001" hidden="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3" t="s">
        <v>2341</v>
      </c>
      <c r="U360" s="331"/>
    </row>
    <row r="361" spans="1:21" ht="16.350000000000001" hidden="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3" t="s">
        <v>2341</v>
      </c>
      <c r="U361" s="331"/>
    </row>
    <row r="362" spans="1:21" ht="16.350000000000001" hidden="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3" t="s">
        <v>2341</v>
      </c>
      <c r="U362" s="331"/>
    </row>
    <row r="363" spans="1:21" ht="16.350000000000001" hidden="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3" t="s">
        <v>2341</v>
      </c>
      <c r="U363" s="331"/>
    </row>
    <row r="364" spans="1:21" ht="16.350000000000001" hidden="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3" t="s">
        <v>2341</v>
      </c>
      <c r="U364" s="331"/>
    </row>
    <row r="365" spans="1:21" ht="16.350000000000001" hidden="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3" t="s">
        <v>2341</v>
      </c>
      <c r="U365" s="331"/>
    </row>
    <row r="366" spans="1:21" ht="16.350000000000001" hidden="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3" t="s">
        <v>2341</v>
      </c>
      <c r="U366" s="331"/>
    </row>
    <row r="367" spans="1:21" ht="16.350000000000001" hidden="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3" t="s">
        <v>2341</v>
      </c>
      <c r="U367" s="331"/>
    </row>
    <row r="368" spans="1:21" ht="16.350000000000001" hidden="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3" t="s">
        <v>2341</v>
      </c>
      <c r="U368" s="331"/>
    </row>
    <row r="369" spans="1:21" ht="16.350000000000001" hidden="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3" t="s">
        <v>2341</v>
      </c>
      <c r="U369" s="331"/>
    </row>
    <row r="370" spans="1:21" ht="16.350000000000001" hidden="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3" t="s">
        <v>2341</v>
      </c>
      <c r="U370" s="331"/>
    </row>
    <row r="371" spans="1:21" ht="16.350000000000001" hidden="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3" t="s">
        <v>2341</v>
      </c>
      <c r="U371" s="331"/>
    </row>
    <row r="372" spans="1:21" ht="16.350000000000001" hidden="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3" t="s">
        <v>2341</v>
      </c>
      <c r="U372" s="331"/>
    </row>
    <row r="373" spans="1:21" ht="16.350000000000001" hidden="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3"/>
      <c r="K373" s="143"/>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3" t="s">
        <v>2341</v>
      </c>
      <c r="U373" s="331"/>
    </row>
    <row r="374" spans="1:21" ht="16.350000000000001" hidden="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3" t="s">
        <v>2341</v>
      </c>
      <c r="U374" s="331"/>
    </row>
    <row r="375" spans="1:21" ht="16.350000000000001" hidden="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3" t="s">
        <v>2341</v>
      </c>
      <c r="U375" s="331"/>
    </row>
    <row r="376" spans="1:21" ht="16.350000000000001" hidden="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3" t="s">
        <v>2341</v>
      </c>
      <c r="U376" s="331"/>
    </row>
    <row r="377" spans="1:21" ht="16.350000000000001" hidden="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3"/>
      <c r="K377" s="143"/>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3" t="s">
        <v>2341</v>
      </c>
      <c r="U377" s="331"/>
    </row>
    <row r="378" spans="1:21" ht="16.350000000000001" hidden="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3"/>
      <c r="K378" s="143"/>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3" t="s">
        <v>2341</v>
      </c>
      <c r="U378" s="331"/>
    </row>
    <row r="379" spans="1:21" ht="16.350000000000001" hidden="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3" t="s">
        <v>2341</v>
      </c>
      <c r="U379" s="331"/>
    </row>
    <row r="380" spans="1:21" ht="16.350000000000001" hidden="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3" t="s">
        <v>2341</v>
      </c>
      <c r="U380" s="331"/>
    </row>
    <row r="381" spans="1:21" ht="16.350000000000001" hidden="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3" t="s">
        <v>2341</v>
      </c>
      <c r="U381" s="331"/>
    </row>
    <row r="382" spans="1:21" ht="16.350000000000001" hidden="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3" t="s">
        <v>2341</v>
      </c>
      <c r="U382" s="331"/>
    </row>
    <row r="383" spans="1:21" ht="16.350000000000001" hidden="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3" t="s">
        <v>2341</v>
      </c>
      <c r="U383" s="331"/>
    </row>
    <row r="384" spans="1:21" ht="16.350000000000001" hidden="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3" t="s">
        <v>2341</v>
      </c>
      <c r="U384" s="331"/>
    </row>
    <row r="385" spans="1:21" ht="16.350000000000001" hidden="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3" t="s">
        <v>2341</v>
      </c>
      <c r="U385" s="331"/>
    </row>
    <row r="386" spans="1:21" ht="16.350000000000001" hidden="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3" t="s">
        <v>2341</v>
      </c>
      <c r="U386" s="331"/>
    </row>
    <row r="387" spans="1:21" ht="16.350000000000001" hidden="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3" t="s">
        <v>2341</v>
      </c>
      <c r="U387" s="331"/>
    </row>
    <row r="388" spans="1:21" ht="16.350000000000001" hidden="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3" t="s">
        <v>2341</v>
      </c>
      <c r="U388" s="331"/>
    </row>
    <row r="389" spans="1:21" ht="16.350000000000001" hidden="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3" t="s">
        <v>2341</v>
      </c>
      <c r="U389" s="331"/>
    </row>
    <row r="390" spans="1:21" ht="16.350000000000001" hidden="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3" t="s">
        <v>2341</v>
      </c>
      <c r="U390" s="331"/>
    </row>
    <row r="391" spans="1:21" ht="16.350000000000001" hidden="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3" t="s">
        <v>2341</v>
      </c>
      <c r="U391" s="331"/>
    </row>
    <row r="392" spans="1:21" ht="16.350000000000001" hidden="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3" t="s">
        <v>2341</v>
      </c>
      <c r="U392" s="331"/>
    </row>
    <row r="393" spans="1:21" ht="16.350000000000001" hidden="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3" t="s">
        <v>2341</v>
      </c>
      <c r="U393" s="331"/>
    </row>
    <row r="394" spans="1:21" ht="16.350000000000001" hidden="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3" t="s">
        <v>2341</v>
      </c>
      <c r="U394" s="331"/>
    </row>
    <row r="395" spans="1:21" ht="16.350000000000001" hidden="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3" t="s">
        <v>2341</v>
      </c>
      <c r="U395" s="331"/>
    </row>
    <row r="396" spans="1:21" ht="16.350000000000001" hidden="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3" t="s">
        <v>2341</v>
      </c>
      <c r="U396" s="331"/>
    </row>
    <row r="397" spans="1:21" ht="16.350000000000001" hidden="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3" t="s">
        <v>2341</v>
      </c>
      <c r="U397" s="331"/>
    </row>
    <row r="398" spans="1:21" ht="16.350000000000001" hidden="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3" t="s">
        <v>2341</v>
      </c>
      <c r="U398" s="331"/>
    </row>
    <row r="399" spans="1:21" ht="16.350000000000001" hidden="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3" t="s">
        <v>2341</v>
      </c>
      <c r="U399" s="331"/>
    </row>
    <row r="400" spans="1:21" ht="16.350000000000001" hidden="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3" t="s">
        <v>2341</v>
      </c>
      <c r="U400" s="331"/>
    </row>
    <row r="401" spans="1:21" ht="16.350000000000001" hidden="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3" t="s">
        <v>2341</v>
      </c>
      <c r="U401" s="331"/>
    </row>
    <row r="402" spans="1:21" ht="16.350000000000001" hidden="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3" t="s">
        <v>2341</v>
      </c>
      <c r="U402" s="331"/>
    </row>
    <row r="403" spans="1:21" ht="16.350000000000001" hidden="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3"/>
      <c r="S403" s="403"/>
      <c r="T403" s="403" t="s">
        <v>2343</v>
      </c>
      <c r="U403" s="383" t="s">
        <v>1864</v>
      </c>
    </row>
    <row r="404" spans="1:21" ht="16.350000000000001" hidden="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3"/>
      <c r="S404" s="403"/>
      <c r="T404" s="403" t="s">
        <v>2343</v>
      </c>
      <c r="U404" s="383" t="s">
        <v>1864</v>
      </c>
    </row>
    <row r="405" spans="1:21" ht="16.350000000000001" hidden="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3"/>
      <c r="S405" s="403"/>
      <c r="T405" s="403" t="s">
        <v>2343</v>
      </c>
      <c r="U405" s="383" t="s">
        <v>1864</v>
      </c>
    </row>
    <row r="406" spans="1:21" ht="16.350000000000001" hidden="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3"/>
      <c r="S406" s="403"/>
      <c r="T406" s="403" t="s">
        <v>2343</v>
      </c>
      <c r="U406" s="383" t="s">
        <v>1864</v>
      </c>
    </row>
    <row r="407" spans="1:21" ht="16.350000000000001" hidden="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3"/>
      <c r="S407" s="403"/>
      <c r="T407" s="403" t="s">
        <v>2343</v>
      </c>
      <c r="U407" s="383" t="s">
        <v>1864</v>
      </c>
    </row>
    <row r="408" spans="1:21" ht="16.350000000000001" hidden="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3"/>
      <c r="S408" s="403"/>
      <c r="T408" s="403" t="s">
        <v>2343</v>
      </c>
      <c r="U408" s="383" t="s">
        <v>1864</v>
      </c>
    </row>
    <row r="409" spans="1:21" ht="16.350000000000001" hidden="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3"/>
      <c r="S409" s="403"/>
      <c r="T409" s="403" t="s">
        <v>2343</v>
      </c>
      <c r="U409" s="383" t="s">
        <v>1864</v>
      </c>
    </row>
    <row r="410" spans="1:21" ht="16.350000000000001" hidden="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3"/>
      <c r="S410" s="403"/>
      <c r="T410" s="403" t="s">
        <v>2343</v>
      </c>
      <c r="U410" s="383" t="s">
        <v>1864</v>
      </c>
    </row>
    <row r="411" spans="1:21" ht="16.350000000000001" hidden="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3"/>
      <c r="S411" s="403"/>
      <c r="T411" s="403" t="s">
        <v>2343</v>
      </c>
      <c r="U411" s="383" t="s">
        <v>1864</v>
      </c>
    </row>
    <row r="412" spans="1:21" ht="16.350000000000001" hidden="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3" t="s">
        <v>2341</v>
      </c>
      <c r="U412" s="331"/>
    </row>
    <row r="413" spans="1:21" ht="16.350000000000001" hidden="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3" t="s">
        <v>2341</v>
      </c>
      <c r="U413" s="331"/>
    </row>
    <row r="414" spans="1:21" ht="16.350000000000001" hidden="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3" t="s">
        <v>2341</v>
      </c>
      <c r="U414" s="331"/>
    </row>
    <row r="415" spans="1:21" ht="16.350000000000001" hidden="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3" t="s">
        <v>2341</v>
      </c>
      <c r="U415" s="331"/>
    </row>
    <row r="416" spans="1:21" ht="16.350000000000001" hidden="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3" t="s">
        <v>2341</v>
      </c>
      <c r="U416" s="331"/>
    </row>
    <row r="417" spans="1:21" ht="16.350000000000001" hidden="1" customHeight="1">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2339</v>
      </c>
      <c r="I417" s="399" t="s">
        <v>2325</v>
      </c>
      <c r="J417" s="388" t="s">
        <v>2375</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3" t="s">
        <v>2341</v>
      </c>
      <c r="U417" s="331" t="s">
        <v>1864</v>
      </c>
    </row>
    <row r="418" spans="1:21" ht="16.350000000000001" hidden="1" customHeight="1">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2339</v>
      </c>
      <c r="I418" s="399" t="s">
        <v>2325</v>
      </c>
      <c r="J418" s="388" t="s">
        <v>2375</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3" t="s">
        <v>2341</v>
      </c>
      <c r="U418" s="331" t="s">
        <v>1864</v>
      </c>
    </row>
    <row r="419" spans="1:21" ht="16.350000000000001" hidden="1" customHeight="1">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2339</v>
      </c>
      <c r="I419" s="399" t="s">
        <v>2325</v>
      </c>
      <c r="J419" s="388" t="s">
        <v>2375</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3" t="s">
        <v>2341</v>
      </c>
      <c r="U419" s="331"/>
    </row>
    <row r="420" spans="1:21" ht="16.350000000000001" hidden="1" customHeight="1">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2339</v>
      </c>
      <c r="I420" s="399" t="s">
        <v>2325</v>
      </c>
      <c r="J420" s="388" t="s">
        <v>2375</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3" t="s">
        <v>2341</v>
      </c>
      <c r="U420" s="331"/>
    </row>
    <row r="421" spans="1:21" ht="16.350000000000001" hidden="1"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2375</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3" t="s">
        <v>2341</v>
      </c>
      <c r="U421" s="331"/>
    </row>
    <row r="422" spans="1:21" ht="16.350000000000001" hidden="1"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2375</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3" t="s">
        <v>2341</v>
      </c>
      <c r="U422" s="331"/>
    </row>
    <row r="423" spans="1:21" ht="16.350000000000001" hidden="1"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2375</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3" t="s">
        <v>2341</v>
      </c>
      <c r="U423" s="331"/>
    </row>
    <row r="424" spans="1:21" ht="16.350000000000001" hidden="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3" t="s">
        <v>2341</v>
      </c>
      <c r="U424" s="331"/>
    </row>
    <row r="425" spans="1:21" ht="16.350000000000001" hidden="1"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2375</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3" t="s">
        <v>2341</v>
      </c>
      <c r="U425" s="331"/>
    </row>
    <row r="426" spans="1:21" ht="16.350000000000001" hidden="1"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2375</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3" t="s">
        <v>2341</v>
      </c>
      <c r="U426" s="331"/>
    </row>
    <row r="427" spans="1:21" ht="16.350000000000001" hidden="1"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2375</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3" t="s">
        <v>2341</v>
      </c>
      <c r="U427" s="331"/>
    </row>
    <row r="428" spans="1:21" ht="16.350000000000001" hidden="1"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2375</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3" t="s">
        <v>2341</v>
      </c>
      <c r="U428" s="331"/>
    </row>
    <row r="429" spans="1:21" ht="16.350000000000001" hidden="1"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2375</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3" t="s">
        <v>2341</v>
      </c>
      <c r="U429" s="331"/>
    </row>
    <row r="430" spans="1:21" ht="16.350000000000001" hidden="1"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2375</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3" t="s">
        <v>2341</v>
      </c>
      <c r="U430" s="331"/>
    </row>
    <row r="431" spans="1:21" ht="16.350000000000001" hidden="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3" t="s">
        <v>2341</v>
      </c>
      <c r="U431" s="331"/>
    </row>
    <row r="432" spans="1:21" ht="16.350000000000001" hidden="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3" t="s">
        <v>2341</v>
      </c>
      <c r="U432" s="331"/>
    </row>
    <row r="433" spans="1:21" ht="16.350000000000001" hidden="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3" t="s">
        <v>2341</v>
      </c>
      <c r="U433" s="331"/>
    </row>
    <row r="434" spans="1:21" ht="16.350000000000001" hidden="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3" t="s">
        <v>2341</v>
      </c>
      <c r="U434" s="331"/>
    </row>
    <row r="435" spans="1:21" ht="16.350000000000001" hidden="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3" t="s">
        <v>2341</v>
      </c>
      <c r="U435" s="331"/>
    </row>
    <row r="436" spans="1:21" ht="16.350000000000001" hidden="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3" t="s">
        <v>2341</v>
      </c>
      <c r="U436" s="331"/>
    </row>
    <row r="437" spans="1:21" ht="16.350000000000001" hidden="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3" t="s">
        <v>2341</v>
      </c>
      <c r="U437" s="331"/>
    </row>
    <row r="438" spans="1:21" ht="16.350000000000001" hidden="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3" t="s">
        <v>2341</v>
      </c>
      <c r="U438" s="331"/>
    </row>
    <row r="439" spans="1:21" ht="16.350000000000001" hidden="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3" t="s">
        <v>2341</v>
      </c>
      <c r="U439" s="331"/>
    </row>
    <row r="440" spans="1:21" ht="16.350000000000001" hidden="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3" t="s">
        <v>2341</v>
      </c>
      <c r="U440" s="331"/>
    </row>
    <row r="441" spans="1:21" ht="16.350000000000001" hidden="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3" t="s">
        <v>2341</v>
      </c>
      <c r="U441" s="331"/>
    </row>
    <row r="442" spans="1:21" ht="16.350000000000001" hidden="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3" t="s">
        <v>2341</v>
      </c>
      <c r="U442" s="331"/>
    </row>
    <row r="443" spans="1:21" ht="16.350000000000001" hidden="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3" t="s">
        <v>2341</v>
      </c>
      <c r="U443" s="331"/>
    </row>
    <row r="444" spans="1:21" ht="16.350000000000001" hidden="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3" t="s">
        <v>2341</v>
      </c>
      <c r="U444" s="331"/>
    </row>
    <row r="445" spans="1:21" ht="16.350000000000001" hidden="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3" t="s">
        <v>2341</v>
      </c>
      <c r="U445" s="331"/>
    </row>
    <row r="446" spans="1:21" ht="16.350000000000001" hidden="1" customHeight="1">
      <c r="A446" s="29" t="str">
        <f t="shared" si="7"/>
        <v>modesg_out_empr_info_nfinppc_trnvr_ttl_elgbl</v>
      </c>
      <c r="B446" s="141" t="s">
        <v>26</v>
      </c>
      <c r="C446" s="137" t="s">
        <v>310</v>
      </c>
      <c r="D446" s="133" t="s">
        <v>40</v>
      </c>
      <c r="E446" s="134" t="s">
        <v>325</v>
      </c>
      <c r="F446" s="133" t="s">
        <v>259</v>
      </c>
      <c r="G446" s="135" t="str">
        <f>VLOOKUP(A446,Plano_V3!$A$26:$G$759,7,0)</f>
        <v>2.1 Em Teste</v>
      </c>
      <c r="H446" s="135" t="s">
        <v>2340</v>
      </c>
      <c r="I446" s="399" t="s">
        <v>2260</v>
      </c>
      <c r="J446" s="388" t="s">
        <v>2325</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3"/>
      <c r="S446" s="403"/>
      <c r="T446" s="403" t="s">
        <v>2342</v>
      </c>
      <c r="U446" s="331"/>
    </row>
    <row r="447" spans="1:21" ht="16.350000000000001" hidden="1" customHeight="1">
      <c r="A447" s="29" t="str">
        <f t="shared" si="7"/>
        <v>modesg_out_empr_info_nfinppc_turnover_own_prfrmnce_algnd</v>
      </c>
      <c r="B447" s="141" t="s">
        <v>26</v>
      </c>
      <c r="C447" s="137" t="s">
        <v>310</v>
      </c>
      <c r="D447" s="133" t="s">
        <v>40</v>
      </c>
      <c r="E447" s="134" t="s">
        <v>325</v>
      </c>
      <c r="F447" s="133" t="s">
        <v>260</v>
      </c>
      <c r="G447" s="135" t="str">
        <f>VLOOKUP(A447,Plano_V3!$A$26:$G$759,7,0)</f>
        <v>2.1 Em Teste</v>
      </c>
      <c r="H447" s="135" t="s">
        <v>2340</v>
      </c>
      <c r="I447" s="399" t="s">
        <v>2260</v>
      </c>
      <c r="J447" s="388" t="s">
        <v>2325</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3"/>
      <c r="S447" s="403"/>
      <c r="T447" s="403" t="s">
        <v>2342</v>
      </c>
      <c r="U447" s="331"/>
    </row>
    <row r="448" spans="1:21" ht="16.350000000000001" hidden="1" customHeight="1">
      <c r="A448" s="29" t="str">
        <f t="shared" si="7"/>
        <v>modesg_out_empr_info_nfinppc_capex_ttl_elgbl</v>
      </c>
      <c r="B448" s="141" t="s">
        <v>26</v>
      </c>
      <c r="C448" s="137" t="s">
        <v>310</v>
      </c>
      <c r="D448" s="133" t="s">
        <v>40</v>
      </c>
      <c r="E448" s="134" t="s">
        <v>325</v>
      </c>
      <c r="F448" s="133" t="s">
        <v>261</v>
      </c>
      <c r="G448" s="135" t="str">
        <f>VLOOKUP(A448,Plano_V3!$A$26:$G$759,7,0)</f>
        <v>2.1 Em Teste</v>
      </c>
      <c r="H448" s="135" t="s">
        <v>2340</v>
      </c>
      <c r="I448" s="399" t="s">
        <v>2260</v>
      </c>
      <c r="J448" s="388" t="s">
        <v>2325</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3"/>
      <c r="S448" s="403"/>
      <c r="T448" s="403" t="s">
        <v>2342</v>
      </c>
      <c r="U448" s="331"/>
    </row>
    <row r="449" spans="1:21" ht="16.350000000000001" hidden="1" customHeight="1">
      <c r="A449" s="29" t="str">
        <f t="shared" si="7"/>
        <v>modesg_out_empr_info_nfinppc_capex_own_prfrmnce_algnd</v>
      </c>
      <c r="B449" s="141" t="s">
        <v>26</v>
      </c>
      <c r="C449" s="137" t="s">
        <v>310</v>
      </c>
      <c r="D449" s="133" t="s">
        <v>40</v>
      </c>
      <c r="E449" s="134" t="s">
        <v>325</v>
      </c>
      <c r="F449" s="133" t="s">
        <v>262</v>
      </c>
      <c r="G449" s="135" t="str">
        <f>VLOOKUP(A449,Plano_V3!$A$26:$G$759,7,0)</f>
        <v>2.1 Em Teste</v>
      </c>
      <c r="H449" s="135" t="s">
        <v>2340</v>
      </c>
      <c r="I449" s="399" t="s">
        <v>2260</v>
      </c>
      <c r="J449" s="388" t="s">
        <v>2325</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3"/>
      <c r="S449" s="403"/>
      <c r="T449" s="403" t="s">
        <v>2342</v>
      </c>
      <c r="U449" s="331"/>
    </row>
    <row r="450" spans="1:21" ht="16.350000000000001" hidden="1" customHeight="1">
      <c r="A450" s="29" t="str">
        <f t="shared" si="7"/>
        <v>modesg_out_empr_info_nfinbio_trnvr_ttl_elgbl</v>
      </c>
      <c r="B450" s="141" t="s">
        <v>26</v>
      </c>
      <c r="C450" s="137" t="s">
        <v>310</v>
      </c>
      <c r="D450" s="133" t="s">
        <v>40</v>
      </c>
      <c r="E450" s="134" t="s">
        <v>325</v>
      </c>
      <c r="F450" s="133" t="s">
        <v>263</v>
      </c>
      <c r="G450" s="135" t="str">
        <f>VLOOKUP(A450,Plano_V3!$A$26:$G$759,7,0)</f>
        <v>2.1 Em Teste</v>
      </c>
      <c r="H450" s="135" t="s">
        <v>2340</v>
      </c>
      <c r="I450" s="399" t="s">
        <v>2260</v>
      </c>
      <c r="J450" s="388" t="s">
        <v>2325</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3"/>
      <c r="S450" s="403"/>
      <c r="T450" s="403" t="s">
        <v>2342</v>
      </c>
      <c r="U450" s="331"/>
    </row>
    <row r="451" spans="1:21" ht="16.350000000000001" hidden="1" customHeight="1">
      <c r="A451" s="29" t="str">
        <f t="shared" si="7"/>
        <v>modesg_out_empr_info_nfinbio_turnover_own_prfrmnce_algnd</v>
      </c>
      <c r="B451" s="141" t="s">
        <v>26</v>
      </c>
      <c r="C451" s="137" t="s">
        <v>310</v>
      </c>
      <c r="D451" s="133" t="s">
        <v>40</v>
      </c>
      <c r="E451" s="134" t="s">
        <v>325</v>
      </c>
      <c r="F451" s="133" t="s">
        <v>264</v>
      </c>
      <c r="G451" s="135" t="str">
        <f>VLOOKUP(A451,Plano_V3!$A$26:$G$759,7,0)</f>
        <v>2.1 Em Teste</v>
      </c>
      <c r="H451" s="135" t="s">
        <v>2340</v>
      </c>
      <c r="I451" s="399" t="s">
        <v>2260</v>
      </c>
      <c r="J451" s="388" t="s">
        <v>2325</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3"/>
      <c r="S451" s="403"/>
      <c r="T451" s="403" t="s">
        <v>2342</v>
      </c>
      <c r="U451" s="331"/>
    </row>
    <row r="452" spans="1:21" ht="16.350000000000001" hidden="1" customHeight="1">
      <c r="A452" s="29" t="str">
        <f t="shared" si="7"/>
        <v>modesg_out_empr_info_nfinbio_capex_ttl_elgbl</v>
      </c>
      <c r="B452" s="141" t="s">
        <v>26</v>
      </c>
      <c r="C452" s="137" t="s">
        <v>310</v>
      </c>
      <c r="D452" s="133" t="s">
        <v>40</v>
      </c>
      <c r="E452" s="134" t="s">
        <v>325</v>
      </c>
      <c r="F452" s="133" t="s">
        <v>265</v>
      </c>
      <c r="G452" s="135" t="str">
        <f>VLOOKUP(A452,Plano_V3!$A$26:$G$759,7,0)</f>
        <v>2.1 Em Teste</v>
      </c>
      <c r="H452" s="135" t="s">
        <v>2340</v>
      </c>
      <c r="I452" s="399" t="s">
        <v>2260</v>
      </c>
      <c r="J452" s="388" t="s">
        <v>2325</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3"/>
      <c r="S452" s="403"/>
      <c r="T452" s="403" t="s">
        <v>2342</v>
      </c>
      <c r="U452" s="331"/>
    </row>
    <row r="453" spans="1:21" ht="16.350000000000001" hidden="1" customHeight="1">
      <c r="A453" s="29" t="str">
        <f t="shared" si="7"/>
        <v>modesg_out_empr_info_nfinbio_capex_own_prfrmnce_algnd</v>
      </c>
      <c r="B453" s="141" t="s">
        <v>26</v>
      </c>
      <c r="C453" s="137" t="s">
        <v>310</v>
      </c>
      <c r="D453" s="133" t="s">
        <v>40</v>
      </c>
      <c r="E453" s="134" t="s">
        <v>325</v>
      </c>
      <c r="F453" s="133" t="s">
        <v>266</v>
      </c>
      <c r="G453" s="135" t="str">
        <f>VLOOKUP(A453,Plano_V3!$A$26:$G$759,7,0)</f>
        <v>2.1 Em Teste</v>
      </c>
      <c r="H453" s="135" t="s">
        <v>2340</v>
      </c>
      <c r="I453" s="399" t="s">
        <v>2260</v>
      </c>
      <c r="J453" s="388" t="s">
        <v>2325</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3"/>
      <c r="S453" s="403"/>
      <c r="T453" s="403" t="s">
        <v>2342</v>
      </c>
      <c r="U453" s="331"/>
    </row>
    <row r="454" spans="1:21" ht="16.350000000000001" hidden="1" customHeight="1">
      <c r="A454" s="29" t="str">
        <f t="shared" si="7"/>
        <v>modesg_out_empr_info_nfinwtr_trnvr_ttl_elgbl</v>
      </c>
      <c r="B454" s="141" t="s">
        <v>26</v>
      </c>
      <c r="C454" s="137" t="s">
        <v>310</v>
      </c>
      <c r="D454" s="133" t="s">
        <v>40</v>
      </c>
      <c r="E454" s="134" t="s">
        <v>325</v>
      </c>
      <c r="F454" s="133" t="s">
        <v>267</v>
      </c>
      <c r="G454" s="135" t="str">
        <f>VLOOKUP(A454,Plano_V3!$A$26:$G$759,7,0)</f>
        <v>2.1 Em Teste</v>
      </c>
      <c r="H454" s="135" t="s">
        <v>2340</v>
      </c>
      <c r="I454" s="399" t="s">
        <v>2260</v>
      </c>
      <c r="J454" s="388" t="s">
        <v>2325</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3"/>
      <c r="S454" s="403"/>
      <c r="T454" s="403" t="s">
        <v>2342</v>
      </c>
      <c r="U454" s="331"/>
    </row>
    <row r="455" spans="1:21" ht="16.350000000000001" hidden="1" customHeight="1">
      <c r="A455" s="29" t="str">
        <f t="shared" si="7"/>
        <v>modesg_out_empr_info_nfinwtr_trnvr_enblng_alignd</v>
      </c>
      <c r="B455" s="141" t="s">
        <v>26</v>
      </c>
      <c r="C455" s="137" t="s">
        <v>310</v>
      </c>
      <c r="D455" s="133" t="s">
        <v>40</v>
      </c>
      <c r="E455" s="134" t="s">
        <v>325</v>
      </c>
      <c r="F455" s="133" t="s">
        <v>268</v>
      </c>
      <c r="G455" s="135" t="str">
        <f>VLOOKUP(A455,Plano_V3!$A$26:$G$759,7,0)</f>
        <v>2.1 Em Teste</v>
      </c>
      <c r="H455" s="135" t="s">
        <v>2340</v>
      </c>
      <c r="I455" s="399" t="s">
        <v>2260</v>
      </c>
      <c r="J455" s="388" t="s">
        <v>2325</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3"/>
      <c r="S455" s="403"/>
      <c r="T455" s="403" t="s">
        <v>2342</v>
      </c>
      <c r="U455" s="331"/>
    </row>
    <row r="456" spans="1:21" ht="16.350000000000001" hidden="1" customHeight="1">
      <c r="A456" s="29" t="str">
        <f t="shared" si="7"/>
        <v>modesg_out_empr_info_nfinwtr_turnover_own_prfrmnce_algnd</v>
      </c>
      <c r="B456" s="141" t="s">
        <v>26</v>
      </c>
      <c r="C456" s="137" t="s">
        <v>310</v>
      </c>
      <c r="D456" s="133" t="s">
        <v>40</v>
      </c>
      <c r="E456" s="134" t="s">
        <v>325</v>
      </c>
      <c r="F456" s="133" t="s">
        <v>269</v>
      </c>
      <c r="G456" s="135" t="str">
        <f>VLOOKUP(A456,Plano_V3!$A$26:$G$759,7,0)</f>
        <v>2.1 Em Teste</v>
      </c>
      <c r="H456" s="135" t="s">
        <v>2340</v>
      </c>
      <c r="I456" s="399" t="s">
        <v>2260</v>
      </c>
      <c r="J456" s="388" t="s">
        <v>2325</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3"/>
      <c r="S456" s="403"/>
      <c r="T456" s="403" t="s">
        <v>2342</v>
      </c>
      <c r="U456" s="331"/>
    </row>
    <row r="457" spans="1:21" ht="16.350000000000001" hidden="1" customHeight="1">
      <c r="A457" s="29" t="str">
        <f t="shared" si="7"/>
        <v>modesg_out_empr_info_nfinwtr_capex_ttl_elgbl</v>
      </c>
      <c r="B457" s="141" t="s">
        <v>26</v>
      </c>
      <c r="C457" s="137" t="s">
        <v>310</v>
      </c>
      <c r="D457" s="133" t="s">
        <v>40</v>
      </c>
      <c r="E457" s="134" t="s">
        <v>325</v>
      </c>
      <c r="F457" s="133" t="s">
        <v>270</v>
      </c>
      <c r="G457" s="135" t="str">
        <f>VLOOKUP(A457,Plano_V3!$A$26:$G$759,7,0)</f>
        <v>2.1 Em Teste</v>
      </c>
      <c r="H457" s="135" t="s">
        <v>2340</v>
      </c>
      <c r="I457" s="399" t="s">
        <v>2260</v>
      </c>
      <c r="J457" s="388" t="s">
        <v>2325</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3"/>
      <c r="S457" s="403"/>
      <c r="T457" s="403" t="s">
        <v>2342</v>
      </c>
      <c r="U457" s="331"/>
    </row>
    <row r="458" spans="1:21" ht="16.350000000000001" hidden="1" customHeight="1">
      <c r="A458" s="29" t="str">
        <f t="shared" si="7"/>
        <v>modesg_out_empr_info_nfinwtr_capex_enblng_algnd</v>
      </c>
      <c r="B458" s="141" t="s">
        <v>26</v>
      </c>
      <c r="C458" s="137" t="s">
        <v>310</v>
      </c>
      <c r="D458" s="133" t="s">
        <v>40</v>
      </c>
      <c r="E458" s="134" t="s">
        <v>325</v>
      </c>
      <c r="F458" s="133" t="s">
        <v>271</v>
      </c>
      <c r="G458" s="135" t="str">
        <f>VLOOKUP(A458,Plano_V3!$A$26:$G$759,7,0)</f>
        <v>2.1 Em Teste</v>
      </c>
      <c r="H458" s="135" t="s">
        <v>2340</v>
      </c>
      <c r="I458" s="399" t="s">
        <v>2260</v>
      </c>
      <c r="J458" s="388" t="s">
        <v>2325</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3"/>
      <c r="S458" s="403"/>
      <c r="T458" s="403" t="s">
        <v>2342</v>
      </c>
      <c r="U458" s="331"/>
    </row>
    <row r="459" spans="1:21" ht="16.350000000000001" hidden="1" customHeight="1">
      <c r="A459" s="29" t="str">
        <f t="shared" si="7"/>
        <v>modesg_out_empr_info_nfinwtr_capex_own_prfrmnce_algnd</v>
      </c>
      <c r="B459" s="141" t="s">
        <v>26</v>
      </c>
      <c r="C459" s="137" t="s">
        <v>310</v>
      </c>
      <c r="D459" s="133" t="s">
        <v>40</v>
      </c>
      <c r="E459" s="134" t="s">
        <v>325</v>
      </c>
      <c r="F459" s="133" t="s">
        <v>272</v>
      </c>
      <c r="G459" s="135" t="str">
        <f>VLOOKUP(A459,Plano_V3!$A$26:$G$759,7,0)</f>
        <v>2.1 Em Teste</v>
      </c>
      <c r="H459" s="135" t="s">
        <v>2340</v>
      </c>
      <c r="I459" s="399" t="s">
        <v>2260</v>
      </c>
      <c r="J459" s="388" t="s">
        <v>2325</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3"/>
      <c r="S459" s="403"/>
      <c r="T459" s="403" t="s">
        <v>2342</v>
      </c>
      <c r="U459" s="331"/>
    </row>
    <row r="460" spans="1:21" ht="16.350000000000001" hidden="1" customHeight="1">
      <c r="A460" s="29" t="str">
        <f t="shared" si="7"/>
        <v>modesg_out_empr_info_nfince_trnvr_ttl_elgbl</v>
      </c>
      <c r="B460" s="141" t="s">
        <v>26</v>
      </c>
      <c r="C460" s="137" t="s">
        <v>310</v>
      </c>
      <c r="D460" s="133" t="s">
        <v>40</v>
      </c>
      <c r="E460" s="134" t="s">
        <v>325</v>
      </c>
      <c r="F460" s="133" t="s">
        <v>273</v>
      </c>
      <c r="G460" s="135" t="str">
        <f>VLOOKUP(A460,Plano_V3!$A$26:$G$759,7,0)</f>
        <v>2.1 Em Teste</v>
      </c>
      <c r="H460" s="135" t="s">
        <v>2340</v>
      </c>
      <c r="I460" s="399" t="s">
        <v>2260</v>
      </c>
      <c r="J460" s="388" t="s">
        <v>2325</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3"/>
      <c r="S460" s="403"/>
      <c r="T460" s="403" t="s">
        <v>2342</v>
      </c>
      <c r="U460" s="331"/>
    </row>
    <row r="461" spans="1:21" ht="16.350000000000001" hidden="1" customHeight="1">
      <c r="A461" s="29" t="str">
        <f t="shared" si="7"/>
        <v>modesg_out_empr_info_nfince_trnvr_enblng_alignd</v>
      </c>
      <c r="B461" s="141" t="s">
        <v>26</v>
      </c>
      <c r="C461" s="137" t="s">
        <v>310</v>
      </c>
      <c r="D461" s="133" t="s">
        <v>40</v>
      </c>
      <c r="E461" s="134" t="s">
        <v>325</v>
      </c>
      <c r="F461" s="133" t="s">
        <v>274</v>
      </c>
      <c r="G461" s="135" t="str">
        <f>VLOOKUP(A461,Plano_V3!$A$26:$G$759,7,0)</f>
        <v>2.1 Em Teste</v>
      </c>
      <c r="H461" s="135" t="s">
        <v>2340</v>
      </c>
      <c r="I461" s="399" t="s">
        <v>2260</v>
      </c>
      <c r="J461" s="388" t="s">
        <v>2325</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3"/>
      <c r="S461" s="403"/>
      <c r="T461" s="403" t="s">
        <v>2342</v>
      </c>
      <c r="U461" s="331"/>
    </row>
    <row r="462" spans="1:21" ht="16.350000000000001" hidden="1" customHeight="1">
      <c r="A462" s="29" t="str">
        <f t="shared" si="7"/>
        <v>modesg_out_empr_info_nfince_turnover_own_prfrmnce_algnd</v>
      </c>
      <c r="B462" s="141" t="s">
        <v>26</v>
      </c>
      <c r="C462" s="137" t="s">
        <v>310</v>
      </c>
      <c r="D462" s="133" t="s">
        <v>40</v>
      </c>
      <c r="E462" s="134" t="s">
        <v>325</v>
      </c>
      <c r="F462" s="133" t="s">
        <v>275</v>
      </c>
      <c r="G462" s="135" t="str">
        <f>VLOOKUP(A462,Plano_V3!$A$26:$G$759,7,0)</f>
        <v>2.1 Em Teste</v>
      </c>
      <c r="H462" s="135" t="s">
        <v>2340</v>
      </c>
      <c r="I462" s="399" t="s">
        <v>2260</v>
      </c>
      <c r="J462" s="388" t="s">
        <v>2325</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3"/>
      <c r="S462" s="403"/>
      <c r="T462" s="403" t="s">
        <v>2342</v>
      </c>
      <c r="U462" s="331"/>
    </row>
    <row r="463" spans="1:21" ht="16.350000000000001" hidden="1" customHeight="1">
      <c r="A463" s="29" t="str">
        <f t="shared" si="7"/>
        <v>modesg_out_empr_info_nfince_capex_ttl_elgbl</v>
      </c>
      <c r="B463" s="141" t="s">
        <v>26</v>
      </c>
      <c r="C463" s="137" t="s">
        <v>310</v>
      </c>
      <c r="D463" s="133" t="s">
        <v>40</v>
      </c>
      <c r="E463" s="134" t="s">
        <v>325</v>
      </c>
      <c r="F463" s="133" t="s">
        <v>276</v>
      </c>
      <c r="G463" s="135" t="str">
        <f>VLOOKUP(A463,Plano_V3!$A$26:$G$759,7,0)</f>
        <v>2.1 Em Teste</v>
      </c>
      <c r="H463" s="135" t="s">
        <v>2340</v>
      </c>
      <c r="I463" s="399" t="s">
        <v>2260</v>
      </c>
      <c r="J463" s="388" t="s">
        <v>2325</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3"/>
      <c r="S463" s="403"/>
      <c r="T463" s="403" t="s">
        <v>2342</v>
      </c>
      <c r="U463" s="331"/>
    </row>
    <row r="464" spans="1:21" ht="16.350000000000001" hidden="1" customHeight="1">
      <c r="A464" s="29" t="str">
        <f t="shared" si="7"/>
        <v>modesg_out_empr_info_nfince_capex_enblng_algnd</v>
      </c>
      <c r="B464" s="141" t="s">
        <v>26</v>
      </c>
      <c r="C464" s="137" t="s">
        <v>310</v>
      </c>
      <c r="D464" s="133" t="s">
        <v>40</v>
      </c>
      <c r="E464" s="134" t="s">
        <v>325</v>
      </c>
      <c r="F464" s="133" t="s">
        <v>277</v>
      </c>
      <c r="G464" s="135" t="str">
        <f>VLOOKUP(A464,Plano_V3!$A$26:$G$759,7,0)</f>
        <v>2.1 Em Teste</v>
      </c>
      <c r="H464" s="135" t="s">
        <v>2340</v>
      </c>
      <c r="I464" s="399" t="s">
        <v>2260</v>
      </c>
      <c r="J464" s="388" t="s">
        <v>2325</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3"/>
      <c r="S464" s="403"/>
      <c r="T464" s="403" t="s">
        <v>2342</v>
      </c>
      <c r="U464" s="331"/>
    </row>
    <row r="465" spans="1:21" ht="16.350000000000001" hidden="1" customHeight="1">
      <c r="A465" s="29" t="str">
        <f t="shared" si="7"/>
        <v>modesg_out_empr_info_nfince_capex_own_prfrmnce_algnd</v>
      </c>
      <c r="B465" s="141" t="s">
        <v>26</v>
      </c>
      <c r="C465" s="137" t="s">
        <v>310</v>
      </c>
      <c r="D465" s="133" t="s">
        <v>40</v>
      </c>
      <c r="E465" s="134" t="s">
        <v>325</v>
      </c>
      <c r="F465" s="133" t="s">
        <v>278</v>
      </c>
      <c r="G465" s="135" t="str">
        <f>VLOOKUP(A465,Plano_V3!$A$26:$G$759,7,0)</f>
        <v>2.1 Em Teste</v>
      </c>
      <c r="H465" s="135" t="s">
        <v>2340</v>
      </c>
      <c r="I465" s="399" t="s">
        <v>2260</v>
      </c>
      <c r="J465" s="388" t="s">
        <v>2325</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3"/>
      <c r="S465" s="403"/>
      <c r="T465" s="403" t="s">
        <v>2342</v>
      </c>
      <c r="U465" s="383"/>
    </row>
    <row r="466" spans="1:21" ht="16.350000000000001" hidden="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2340</v>
      </c>
      <c r="I466" s="399" t="s">
        <v>2260</v>
      </c>
      <c r="J466" s="388" t="s">
        <v>2375</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3" t="s">
        <v>2341</v>
      </c>
      <c r="U466" s="331" t="s">
        <v>1863</v>
      </c>
    </row>
    <row r="467" spans="1:21" ht="16.350000000000001" hidden="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3" t="s">
        <v>2341</v>
      </c>
      <c r="U467" s="331"/>
    </row>
    <row r="468" spans="1:21" ht="16.350000000000001" hidden="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3" t="s">
        <v>2341</v>
      </c>
      <c r="U468" s="331"/>
    </row>
    <row r="469" spans="1:21" ht="16.350000000000001" hidden="1" customHeight="1">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2339</v>
      </c>
      <c r="I469" s="399" t="s">
        <v>2325</v>
      </c>
      <c r="J469" s="388" t="s">
        <v>2375</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3" t="s">
        <v>2383</v>
      </c>
      <c r="U469" s="331" t="s">
        <v>1864</v>
      </c>
    </row>
    <row r="470" spans="1:21" ht="16.350000000000001" hidden="1" customHeight="1">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2339</v>
      </c>
      <c r="I470" s="399" t="s">
        <v>2325</v>
      </c>
      <c r="J470" s="388" t="s">
        <v>2375</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3" t="s">
        <v>2383</v>
      </c>
      <c r="U470" s="331" t="s">
        <v>1864</v>
      </c>
    </row>
    <row r="471" spans="1:21" ht="16.350000000000001" hidden="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3" t="s">
        <v>2341</v>
      </c>
      <c r="U471" s="331"/>
    </row>
    <row r="472" spans="1:21" ht="16.350000000000001" hidden="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3" t="s">
        <v>2341</v>
      </c>
      <c r="U472" s="331"/>
    </row>
    <row r="473" spans="1:21" ht="16.350000000000001" hidden="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3" t="s">
        <v>2341</v>
      </c>
      <c r="U473" s="331"/>
    </row>
    <row r="474" spans="1:21" ht="16.350000000000001" hidden="1" customHeight="1">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2339</v>
      </c>
      <c r="I474" s="399" t="s">
        <v>2325</v>
      </c>
      <c r="J474" s="388" t="s">
        <v>2375</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3" t="s">
        <v>2383</v>
      </c>
      <c r="U474" s="331" t="s">
        <v>1864</v>
      </c>
    </row>
    <row r="475" spans="1:21" ht="16.350000000000001" hidden="1" customHeight="1">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2339</v>
      </c>
      <c r="I475" s="399" t="s">
        <v>2325</v>
      </c>
      <c r="J475" s="388" t="s">
        <v>2375</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3" t="s">
        <v>2383</v>
      </c>
      <c r="U475" s="331" t="s">
        <v>1864</v>
      </c>
    </row>
    <row r="476" spans="1:21" ht="16.350000000000001" hidden="1" customHeight="1">
      <c r="A476" s="29" t="str">
        <f t="shared" si="7"/>
        <v>modesg_out_empr_info_nfinorigem_scp1_emss</v>
      </c>
      <c r="B476" s="141" t="s">
        <v>26</v>
      </c>
      <c r="C476" s="137" t="s">
        <v>310</v>
      </c>
      <c r="D476" s="133" t="s">
        <v>40</v>
      </c>
      <c r="E476" s="134" t="s">
        <v>325</v>
      </c>
      <c r="F476" s="133" t="s">
        <v>319</v>
      </c>
      <c r="G476" s="135" t="str">
        <f>VLOOKUP(A476,Plano_V3!$A$26:$G$759,7,0)</f>
        <v>2.1 Em Teste</v>
      </c>
      <c r="H476" s="135" t="s">
        <v>613</v>
      </c>
      <c r="I476" s="153"/>
      <c r="J476" s="153" t="s">
        <v>2375</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3" t="s">
        <v>2341</v>
      </c>
      <c r="U476" s="331" t="s">
        <v>1864</v>
      </c>
    </row>
    <row r="477" spans="1:21" ht="16.350000000000001" hidden="1" customHeight="1">
      <c r="A477" s="29" t="str">
        <f t="shared" si="7"/>
        <v>modesg_out_empr_info_nfinorigem_scp2_emss</v>
      </c>
      <c r="B477" s="141" t="s">
        <v>26</v>
      </c>
      <c r="C477" s="137" t="s">
        <v>310</v>
      </c>
      <c r="D477" s="133" t="s">
        <v>40</v>
      </c>
      <c r="E477" s="134" t="s">
        <v>325</v>
      </c>
      <c r="F477" s="133" t="s">
        <v>320</v>
      </c>
      <c r="G477" s="135" t="str">
        <f>VLOOKUP(A477,Plano_V3!$A$26:$G$759,7,0)</f>
        <v>2.1 Em Teste</v>
      </c>
      <c r="H477" s="135" t="s">
        <v>613</v>
      </c>
      <c r="I477" s="153"/>
      <c r="J477" s="153" t="s">
        <v>2375</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3" t="s">
        <v>2341</v>
      </c>
      <c r="U477" s="331" t="s">
        <v>1864</v>
      </c>
    </row>
    <row r="478" spans="1:21" ht="16.350000000000001" hidden="1" customHeight="1">
      <c r="A478" s="29" t="str">
        <f t="shared" si="7"/>
        <v>modesg_out_empr_info_nfinorigem_scp3_emss</v>
      </c>
      <c r="B478" s="141" t="s">
        <v>26</v>
      </c>
      <c r="C478" s="137" t="s">
        <v>310</v>
      </c>
      <c r="D478" s="133" t="s">
        <v>40</v>
      </c>
      <c r="E478" s="134" t="s">
        <v>325</v>
      </c>
      <c r="F478" s="133" t="s">
        <v>321</v>
      </c>
      <c r="G478" s="135" t="str">
        <f>VLOOKUP(A478,Plano_V3!$A$26:$G$759,7,0)</f>
        <v>2.1 Em Teste</v>
      </c>
      <c r="H478" s="135" t="s">
        <v>613</v>
      </c>
      <c r="I478" s="153"/>
      <c r="J478" s="153" t="s">
        <v>2375</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3" t="s">
        <v>2341</v>
      </c>
      <c r="U478" s="331" t="s">
        <v>1864</v>
      </c>
    </row>
    <row r="479" spans="1:21" ht="16.350000000000001" hidden="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3" t="s">
        <v>2341</v>
      </c>
      <c r="U479" s="331"/>
    </row>
    <row r="480" spans="1:21" ht="16.350000000000001" hidden="1" customHeight="1">
      <c r="A480" s="29" t="str">
        <f t="shared" si="7"/>
        <v>modesg_out_empr_info_nfinscp1_emss</v>
      </c>
      <c r="B480" s="141" t="s">
        <v>26</v>
      </c>
      <c r="C480" s="137" t="s">
        <v>310</v>
      </c>
      <c r="D480" s="133" t="s">
        <v>40</v>
      </c>
      <c r="E480" s="134" t="s">
        <v>325</v>
      </c>
      <c r="F480" s="133" t="s">
        <v>285</v>
      </c>
      <c r="G480" s="135" t="str">
        <f>VLOOKUP(A480,Plano_V3!$A$26:$G$759,7,0)</f>
        <v>2.1 Em Teste</v>
      </c>
      <c r="H480" s="135" t="s">
        <v>613</v>
      </c>
      <c r="I480" s="153"/>
      <c r="J480" s="153" t="s">
        <v>2375</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3" t="s">
        <v>2341</v>
      </c>
      <c r="U480" s="331" t="s">
        <v>1864</v>
      </c>
    </row>
    <row r="481" spans="1:21" ht="16.350000000000001" hidden="1" customHeight="1">
      <c r="A481" s="29" t="str">
        <f t="shared" si="7"/>
        <v>modesg_out_empr_info_nfinscp2_emss</v>
      </c>
      <c r="B481" s="141" t="s">
        <v>26</v>
      </c>
      <c r="C481" s="137" t="s">
        <v>310</v>
      </c>
      <c r="D481" s="133" t="s">
        <v>40</v>
      </c>
      <c r="E481" s="134" t="s">
        <v>325</v>
      </c>
      <c r="F481" s="133" t="s">
        <v>286</v>
      </c>
      <c r="G481" s="135" t="str">
        <f>VLOOKUP(A481,Plano_V3!$A$26:$G$759,7,0)</f>
        <v>2.1 Em Teste</v>
      </c>
      <c r="H481" s="135" t="s">
        <v>613</v>
      </c>
      <c r="I481" s="153"/>
      <c r="J481" s="153" t="s">
        <v>2375</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3" t="s">
        <v>2341</v>
      </c>
      <c r="U481" s="331" t="s">
        <v>1864</v>
      </c>
    </row>
    <row r="482" spans="1:21" ht="16.350000000000001" hidden="1" customHeight="1">
      <c r="A482" s="29" t="str">
        <f t="shared" si="7"/>
        <v>modesg_out_empr_info_nfinscp3_emss</v>
      </c>
      <c r="B482" s="141" t="s">
        <v>26</v>
      </c>
      <c r="C482" s="137" t="s">
        <v>310</v>
      </c>
      <c r="D482" s="133" t="s">
        <v>40</v>
      </c>
      <c r="E482" s="134" t="s">
        <v>325</v>
      </c>
      <c r="F482" s="133" t="s">
        <v>287</v>
      </c>
      <c r="G482" s="135" t="str">
        <f>VLOOKUP(A482,Plano_V3!$A$26:$G$759,7,0)</f>
        <v>2.1 Em Teste</v>
      </c>
      <c r="H482" s="135" t="s">
        <v>613</v>
      </c>
      <c r="I482" s="153"/>
      <c r="J482" s="153" t="s">
        <v>2375</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3" t="s">
        <v>2341</v>
      </c>
      <c r="U482" s="331" t="s">
        <v>1864</v>
      </c>
    </row>
    <row r="483" spans="1:21" ht="16.350000000000001" hidden="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3" t="s">
        <v>2341</v>
      </c>
      <c r="U483" s="331"/>
    </row>
    <row r="484" spans="1:21" ht="16.350000000000001" hidden="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3" t="s">
        <v>2341</v>
      </c>
      <c r="U484" s="331"/>
    </row>
    <row r="485" spans="1:21" ht="16.350000000000001" hidden="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3" t="s">
        <v>2341</v>
      </c>
      <c r="U485" s="331"/>
    </row>
    <row r="486" spans="1:21" ht="16.350000000000001" hidden="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3" t="s">
        <v>2341</v>
      </c>
      <c r="U486" s="331"/>
    </row>
    <row r="487" spans="1:21" ht="16.350000000000001" hidden="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3" t="s">
        <v>2341</v>
      </c>
      <c r="U487" s="331"/>
    </row>
    <row r="488" spans="1:21" ht="16.350000000000001" hidden="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3" t="s">
        <v>2341</v>
      </c>
      <c r="U488" s="331"/>
    </row>
    <row r="489" spans="1:21" ht="16.350000000000001" hidden="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3" t="s">
        <v>2341</v>
      </c>
      <c r="U489" s="331"/>
    </row>
    <row r="490" spans="1:21" ht="16.350000000000001" hidden="1"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2375</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3" t="s">
        <v>2341</v>
      </c>
      <c r="U490" s="331"/>
    </row>
    <row r="491" spans="1:21" ht="16.350000000000001" hidden="1"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2375</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3" t="s">
        <v>2341</v>
      </c>
      <c r="U491" s="331"/>
    </row>
    <row r="492" spans="1:21" ht="16.350000000000001" hidden="1"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2375</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3" t="s">
        <v>2341</v>
      </c>
      <c r="U492" s="331"/>
    </row>
    <row r="493" spans="1:21" ht="16.350000000000001" hidden="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3" t="s">
        <v>2341</v>
      </c>
      <c r="U493" s="331"/>
    </row>
    <row r="494" spans="1:21" ht="16.350000000000001" hidden="1"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2375</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3" t="s">
        <v>2341</v>
      </c>
      <c r="U494" s="331"/>
    </row>
    <row r="495" spans="1:21" ht="16.350000000000001" hidden="1"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2375</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3" t="s">
        <v>2341</v>
      </c>
      <c r="U495" s="331"/>
    </row>
    <row r="496" spans="1:21" ht="16.350000000000001" hidden="1"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2375</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3" t="s">
        <v>2341</v>
      </c>
      <c r="U496" s="331"/>
    </row>
    <row r="497" spans="1:21" ht="16.350000000000001" hidden="1"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2375</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3" t="s">
        <v>2341</v>
      </c>
      <c r="U497" s="331"/>
    </row>
    <row r="498" spans="1:21" ht="16.350000000000001" hidden="1"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2375</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3" t="s">
        <v>2341</v>
      </c>
      <c r="U498" s="331"/>
    </row>
    <row r="499" spans="1:21" ht="16.350000000000001" hidden="1"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2375</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3" t="s">
        <v>2341</v>
      </c>
      <c r="U499" s="331"/>
    </row>
    <row r="500" spans="1:21" ht="16.350000000000001" hidden="1" customHeight="1">
      <c r="A500" s="29" t="str">
        <f t="shared" si="8"/>
        <v>modesg_out_sfics_taxon_europeian.a.</v>
      </c>
      <c r="B500" s="141" t="s">
        <v>26</v>
      </c>
      <c r="C500" s="137" t="s">
        <v>310</v>
      </c>
      <c r="D500" s="133" t="s">
        <v>36</v>
      </c>
      <c r="E500" s="134" t="s">
        <v>2090</v>
      </c>
      <c r="F500" s="133" t="s">
        <v>38</v>
      </c>
      <c r="G500" s="135" t="str">
        <f>VLOOKUP(A500,Plano_V3!$A$26:$G$759,7,0)</f>
        <v>2.2 Em especificação</v>
      </c>
      <c r="H500" s="135" t="s">
        <v>614</v>
      </c>
      <c r="I500" s="142" t="s">
        <v>2375</v>
      </c>
      <c r="J500" s="388" t="s">
        <v>2375</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3" t="s">
        <v>2341</v>
      </c>
      <c r="U500" s="331" t="s">
        <v>2327</v>
      </c>
    </row>
    <row r="501" spans="1:21" ht="16.350000000000001" hidden="1" customHeight="1">
      <c r="A501" s="29" t="str">
        <f t="shared" si="8"/>
        <v>modesg_out_sfics_taxon_europeiacbalcao</v>
      </c>
      <c r="B501" s="141" t="s">
        <v>26</v>
      </c>
      <c r="C501" s="137" t="s">
        <v>310</v>
      </c>
      <c r="D501" s="133" t="s">
        <v>40</v>
      </c>
      <c r="E501" s="134" t="s">
        <v>2090</v>
      </c>
      <c r="F501" s="133" t="s">
        <v>183</v>
      </c>
      <c r="G501" s="135" t="str">
        <f>VLOOKUP(A501,Plano_V3!$A$26:$G$759,7,0)</f>
        <v>2.2 Em especificação</v>
      </c>
      <c r="H501" s="135" t="s">
        <v>614</v>
      </c>
      <c r="I501" s="142" t="s">
        <v>2375</v>
      </c>
      <c r="J501" s="388" t="s">
        <v>2375</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3" t="s">
        <v>2341</v>
      </c>
      <c r="U501" s="331" t="s">
        <v>2327</v>
      </c>
    </row>
    <row r="502" spans="1:21" ht="16.350000000000001" hidden="1" customHeight="1">
      <c r="A502" s="29" t="str">
        <f t="shared" si="8"/>
        <v>modesg_out_sfics_taxon_europeiacempresa</v>
      </c>
      <c r="B502" s="141" t="s">
        <v>26</v>
      </c>
      <c r="C502" s="137" t="s">
        <v>310</v>
      </c>
      <c r="D502" s="133" t="s">
        <v>40</v>
      </c>
      <c r="E502" s="134" t="s">
        <v>2090</v>
      </c>
      <c r="F502" s="133" t="s">
        <v>184</v>
      </c>
      <c r="G502" s="135" t="str">
        <f>VLOOKUP(A502,Plano_V3!$A$26:$G$759,7,0)</f>
        <v>2.2 Em especificação</v>
      </c>
      <c r="H502" s="135" t="s">
        <v>614</v>
      </c>
      <c r="I502" s="142" t="s">
        <v>2375</v>
      </c>
      <c r="J502" s="388" t="s">
        <v>2375</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3" t="s">
        <v>2341</v>
      </c>
      <c r="U502" s="331" t="s">
        <v>2327</v>
      </c>
    </row>
    <row r="503" spans="1:21" ht="16.350000000000001" hidden="1" customHeight="1">
      <c r="A503" s="29" t="str">
        <f t="shared" si="8"/>
        <v>modesg_out_sfics_taxon_europeiacnumecta</v>
      </c>
      <c r="B503" s="141" t="s">
        <v>26</v>
      </c>
      <c r="C503" s="137" t="s">
        <v>310</v>
      </c>
      <c r="D503" s="133" t="s">
        <v>40</v>
      </c>
      <c r="E503" s="134" t="s">
        <v>2090</v>
      </c>
      <c r="F503" s="133" t="s">
        <v>189</v>
      </c>
      <c r="G503" s="135" t="str">
        <f>VLOOKUP(A503,Plano_V3!$A$26:$G$759,7,0)</f>
        <v>2.2 Em especificação</v>
      </c>
      <c r="H503" s="135" t="s">
        <v>614</v>
      </c>
      <c r="I503" s="142" t="s">
        <v>2375</v>
      </c>
      <c r="J503" s="388" t="s">
        <v>2375</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3" t="s">
        <v>2341</v>
      </c>
      <c r="U503" s="331" t="s">
        <v>2327</v>
      </c>
    </row>
    <row r="504" spans="1:21" ht="16.350000000000001" hidden="1" customHeight="1">
      <c r="A504" s="29" t="str">
        <f t="shared" si="8"/>
        <v>modesg_out_sfics_taxon_europeiacod_regra</v>
      </c>
      <c r="B504" s="141" t="s">
        <v>26</v>
      </c>
      <c r="C504" s="137" t="s">
        <v>310</v>
      </c>
      <c r="D504" s="133" t="s">
        <v>40</v>
      </c>
      <c r="E504" s="134" t="s">
        <v>2090</v>
      </c>
      <c r="F504" s="133" t="s">
        <v>191</v>
      </c>
      <c r="G504" s="135" t="str">
        <f>VLOOKUP(A504,Plano_V3!$A$26:$G$759,7,0)</f>
        <v>2.2 Em especificação</v>
      </c>
      <c r="H504" s="135" t="s">
        <v>614</v>
      </c>
      <c r="I504" s="142" t="s">
        <v>2375</v>
      </c>
      <c r="J504" s="388" t="s">
        <v>2375</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3" t="s">
        <v>2341</v>
      </c>
      <c r="U504" s="331" t="s">
        <v>2327</v>
      </c>
    </row>
    <row r="505" spans="1:21" ht="16.350000000000001" hidden="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3" t="s">
        <v>2341</v>
      </c>
      <c r="U505" s="331"/>
    </row>
    <row r="506" spans="1:21" ht="16.350000000000001" hidden="1" customHeight="1">
      <c r="A506" s="29" t="str">
        <f t="shared" si="8"/>
        <v>modesg_out_sfics_taxon_europeiamontante_pndrc</v>
      </c>
      <c r="B506" s="141" t="s">
        <v>26</v>
      </c>
      <c r="C506" s="137" t="s">
        <v>310</v>
      </c>
      <c r="D506" s="133" t="s">
        <v>40</v>
      </c>
      <c r="E506" s="134" t="s">
        <v>2090</v>
      </c>
      <c r="F506" s="133" t="s">
        <v>202</v>
      </c>
      <c r="G506" s="135" t="str">
        <f>VLOOKUP(A506,Plano_V3!$A$26:$G$759,7,0)</f>
        <v>2.2 Em especificação</v>
      </c>
      <c r="H506" s="135" t="s">
        <v>614</v>
      </c>
      <c r="I506" s="142" t="s">
        <v>2375</v>
      </c>
      <c r="J506" s="388" t="s">
        <v>2375</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3" t="s">
        <v>2341</v>
      </c>
      <c r="U506" s="331" t="s">
        <v>2327</v>
      </c>
    </row>
    <row r="507" spans="1:21" ht="16.350000000000001" hidden="1" customHeight="1">
      <c r="A507" s="29" t="str">
        <f t="shared" si="8"/>
        <v>modesg_out_sfics_taxon_europeianome_ctgr_sfics</v>
      </c>
      <c r="B507" s="141" t="s">
        <v>26</v>
      </c>
      <c r="C507" s="137" t="s">
        <v>310</v>
      </c>
      <c r="D507" s="133" t="s">
        <v>40</v>
      </c>
      <c r="E507" s="134" t="s">
        <v>2090</v>
      </c>
      <c r="F507" s="133" t="s">
        <v>2055</v>
      </c>
      <c r="G507" s="135" t="str">
        <f>VLOOKUP(A507,Plano_V3!$A$26:$G$759,7,0)</f>
        <v>2.2 Em especificação</v>
      </c>
      <c r="H507" s="135" t="s">
        <v>614</v>
      </c>
      <c r="I507" s="142" t="s">
        <v>2375</v>
      </c>
      <c r="J507" s="388" t="s">
        <v>2375</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3" t="s">
        <v>2341</v>
      </c>
      <c r="U507" s="331" t="s">
        <v>2327</v>
      </c>
    </row>
    <row r="508" spans="1:21" ht="16.350000000000001" hidden="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2.2 Em especificação</v>
      </c>
      <c r="H508" s="135" t="s">
        <v>614</v>
      </c>
      <c r="I508" s="142" t="s">
        <v>2375</v>
      </c>
      <c r="J508" s="388" t="s">
        <v>2375</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3" t="s">
        <v>2341</v>
      </c>
      <c r="U508" s="331" t="s">
        <v>2327</v>
      </c>
    </row>
    <row r="509" spans="1:21" ht="16.350000000000001" hidden="1" customHeight="1">
      <c r="A509" s="29" t="str">
        <f t="shared" si="8"/>
        <v>modesg_out_sfics_taxon_europeianome_purpose_esg_alinh_tax</v>
      </c>
      <c r="B509" s="141" t="s">
        <v>26</v>
      </c>
      <c r="C509" s="137" t="s">
        <v>310</v>
      </c>
      <c r="D509" s="133" t="s">
        <v>40</v>
      </c>
      <c r="E509" s="134" t="s">
        <v>2090</v>
      </c>
      <c r="F509" s="377" t="s">
        <v>2069</v>
      </c>
      <c r="G509" s="135" t="str">
        <f>VLOOKUP(A509,Plano_V3!$A$26:$G$759,7,0)</f>
        <v>2.2 Em especificação</v>
      </c>
      <c r="H509" s="135" t="s">
        <v>614</v>
      </c>
      <c r="I509" s="142" t="s">
        <v>2375</v>
      </c>
      <c r="J509" s="388" t="s">
        <v>2375</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3"/>
      <c r="S509" s="403"/>
      <c r="T509" s="403" t="s">
        <v>2341</v>
      </c>
      <c r="U509" s="331" t="s">
        <v>2327</v>
      </c>
    </row>
    <row r="510" spans="1:21" ht="16.350000000000001" hidden="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2.2 Em especificação</v>
      </c>
      <c r="H510" s="135" t="s">
        <v>614</v>
      </c>
      <c r="I510" s="142" t="s">
        <v>2375</v>
      </c>
      <c r="J510" s="388" t="s">
        <v>2375</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3"/>
      <c r="S510" s="403"/>
      <c r="T510" s="403" t="s">
        <v>2343</v>
      </c>
      <c r="U510" s="331" t="s">
        <v>2327</v>
      </c>
    </row>
    <row r="511" spans="1:21" ht="16.350000000000001" hidden="1" customHeight="1">
      <c r="A511" s="29" t="str">
        <f t="shared" si="8"/>
        <v>modesg_out_sfics_taxon_europeianome_specific_eligible</v>
      </c>
      <c r="B511" s="141" t="s">
        <v>26</v>
      </c>
      <c r="C511" s="137" t="s">
        <v>310</v>
      </c>
      <c r="D511" s="133" t="s">
        <v>40</v>
      </c>
      <c r="E511" s="134" t="s">
        <v>2090</v>
      </c>
      <c r="F511" s="133" t="s">
        <v>206</v>
      </c>
      <c r="G511" s="135" t="str">
        <f>VLOOKUP(A511,Plano_V3!$A$26:$G$759,7,0)</f>
        <v>2.2 Em especificação</v>
      </c>
      <c r="H511" s="135" t="s">
        <v>614</v>
      </c>
      <c r="I511" s="142" t="s">
        <v>2375</v>
      </c>
      <c r="J511" s="388" t="s">
        <v>2375</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3" t="s">
        <v>2341</v>
      </c>
      <c r="U511" s="331" t="s">
        <v>2327</v>
      </c>
    </row>
    <row r="512" spans="1:21" ht="16.350000000000001" hidden="1" customHeight="1">
      <c r="A512" s="29" t="str">
        <f t="shared" si="8"/>
        <v>modesg_out_sfics_taxon_europeianome_specific_sustainable</v>
      </c>
      <c r="B512" s="141" t="s">
        <v>26</v>
      </c>
      <c r="C512" s="137" t="s">
        <v>310</v>
      </c>
      <c r="D512" s="133" t="s">
        <v>40</v>
      </c>
      <c r="E512" s="134" t="s">
        <v>2090</v>
      </c>
      <c r="F512" s="133" t="s">
        <v>207</v>
      </c>
      <c r="G512" s="135" t="str">
        <f>VLOOKUP(A512,Plano_V3!$A$26:$G$759,7,0)</f>
        <v>2.2 Em especificação</v>
      </c>
      <c r="H512" s="135" t="s">
        <v>614</v>
      </c>
      <c r="I512" s="142" t="s">
        <v>2375</v>
      </c>
      <c r="J512" s="388" t="s">
        <v>2375</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3" t="s">
        <v>2341</v>
      </c>
      <c r="U512" s="331" t="s">
        <v>2327</v>
      </c>
    </row>
    <row r="513" spans="1:21" ht="16.350000000000001" hidden="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2375</v>
      </c>
      <c r="J513" s="388" t="s">
        <v>2375</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3" t="s">
        <v>2341</v>
      </c>
      <c r="U513" s="331"/>
    </row>
    <row r="514" spans="1:21" ht="16.350000000000001" hidden="1" customHeight="1">
      <c r="A514" s="29" t="str">
        <f t="shared" si="8"/>
        <v>modesg_out_sfics_taxon_europeiaref_date</v>
      </c>
      <c r="B514" s="141" t="s">
        <v>26</v>
      </c>
      <c r="C514" s="137" t="s">
        <v>310</v>
      </c>
      <c r="D514" s="133" t="s">
        <v>40</v>
      </c>
      <c r="E514" s="134" t="s">
        <v>2090</v>
      </c>
      <c r="F514" s="133" t="s">
        <v>208</v>
      </c>
      <c r="G514" s="135" t="str">
        <f>VLOOKUP(A514,Plano_V3!$A$26:$G$759,7,0)</f>
        <v>2.2 Em especificação</v>
      </c>
      <c r="H514" s="135" t="s">
        <v>614</v>
      </c>
      <c r="I514" s="142" t="s">
        <v>2375</v>
      </c>
      <c r="J514" s="388" t="s">
        <v>2375</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3" t="s">
        <v>2341</v>
      </c>
      <c r="U514" s="331" t="s">
        <v>2327</v>
      </c>
    </row>
    <row r="515" spans="1:21" ht="16.350000000000001" hidden="1" customHeight="1">
      <c r="A515" s="29" t="str">
        <f t="shared" si="8"/>
        <v>modesg_out_sfics_taxon_europeiazdeposit</v>
      </c>
      <c r="B515" s="141" t="s">
        <v>26</v>
      </c>
      <c r="C515" s="137" t="s">
        <v>310</v>
      </c>
      <c r="D515" s="133" t="s">
        <v>40</v>
      </c>
      <c r="E515" s="134" t="s">
        <v>2090</v>
      </c>
      <c r="F515" s="133" t="s">
        <v>210</v>
      </c>
      <c r="G515" s="135" t="str">
        <f>VLOOKUP(A515,Plano_V3!$A$26:$G$759,7,0)</f>
        <v>2.2 Em especificação</v>
      </c>
      <c r="H515" s="135" t="s">
        <v>614</v>
      </c>
      <c r="I515" s="142" t="s">
        <v>2375</v>
      </c>
      <c r="J515" s="388" t="s">
        <v>2375</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3" t="s">
        <v>2341</v>
      </c>
      <c r="U515" s="331" t="s">
        <v>2327</v>
      </c>
    </row>
    <row r="516" spans="1:21" ht="16.350000000000001" hidden="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3" t="s">
        <v>2341</v>
      </c>
      <c r="U516" s="331" t="s">
        <v>1863</v>
      </c>
    </row>
    <row r="517" spans="1:21" ht="16.350000000000001" hidden="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3" t="s">
        <v>2341</v>
      </c>
      <c r="U517" s="331"/>
    </row>
    <row r="518" spans="1:21" ht="16.350000000000001" hidden="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3" t="s">
        <v>2341</v>
      </c>
      <c r="U518" s="331"/>
    </row>
    <row r="519" spans="1:21" ht="16.350000000000001" hidden="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3" t="s">
        <v>2341</v>
      </c>
      <c r="U519" s="331"/>
    </row>
    <row r="520" spans="1:21" ht="16.350000000000001" hidden="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3" t="s">
        <v>2341</v>
      </c>
      <c r="U520" s="331"/>
    </row>
    <row r="521" spans="1:21" ht="16.350000000000001" hidden="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3" t="s">
        <v>2341</v>
      </c>
      <c r="U521" s="331"/>
    </row>
    <row r="522" spans="1:21" ht="16.350000000000001" hidden="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3" t="s">
        <v>2341</v>
      </c>
      <c r="U522" s="331"/>
    </row>
    <row r="523" spans="1:21" ht="16.350000000000001" hidden="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3" t="s">
        <v>2341</v>
      </c>
      <c r="U523" s="331"/>
    </row>
    <row r="524" spans="1:21" ht="16.350000000000001" hidden="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3" t="s">
        <v>2341</v>
      </c>
      <c r="U524" s="331"/>
    </row>
    <row r="525" spans="1:21" ht="16.350000000000001" hidden="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3" t="s">
        <v>2341</v>
      </c>
      <c r="U525" s="331"/>
    </row>
    <row r="526" spans="1:21" ht="16.350000000000001" hidden="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3" t="s">
        <v>2341</v>
      </c>
      <c r="U526" s="331"/>
    </row>
    <row r="527" spans="1:21" ht="16.350000000000001" hidden="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3" t="s">
        <v>2341</v>
      </c>
      <c r="U527" s="331"/>
    </row>
    <row r="528" spans="1:21" ht="16.350000000000001" hidden="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3" t="s">
        <v>2341</v>
      </c>
      <c r="U528" s="331"/>
    </row>
    <row r="529" spans="1:21" ht="16.350000000000001" hidden="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3" t="s">
        <v>2341</v>
      </c>
      <c r="U529" s="331"/>
    </row>
    <row r="530" spans="1:21" ht="16.350000000000001" hidden="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3" t="s">
        <v>2341</v>
      </c>
      <c r="U530" s="331"/>
    </row>
    <row r="531" spans="1:21" ht="16.350000000000001" hidden="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3" t="s">
        <v>2341</v>
      </c>
      <c r="U531" s="331"/>
    </row>
    <row r="532" spans="1:21" ht="16.350000000000001" hidden="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3" t="s">
        <v>2341</v>
      </c>
      <c r="U532" s="331"/>
    </row>
    <row r="533" spans="1:21" ht="16.350000000000001" hidden="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3" t="s">
        <v>2341</v>
      </c>
      <c r="U533" s="331"/>
    </row>
    <row r="534" spans="1:21" ht="16.350000000000001" hidden="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3" t="s">
        <v>2341</v>
      </c>
      <c r="U534" s="331"/>
    </row>
    <row r="535" spans="1:21" ht="16.350000000000001" hidden="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3" t="s">
        <v>2341</v>
      </c>
      <c r="U535" s="331"/>
    </row>
    <row r="536" spans="1:21" ht="16.350000000000001" hidden="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2375</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3" t="s">
        <v>2341</v>
      </c>
      <c r="U536" s="331" t="s">
        <v>1864</v>
      </c>
    </row>
    <row r="537" spans="1:21" ht="16.350000000000001" hidden="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2375</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3" t="s">
        <v>2341</v>
      </c>
      <c r="U537" s="331" t="s">
        <v>1864</v>
      </c>
    </row>
    <row r="538" spans="1:21" ht="16.350000000000001" hidden="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3" t="s">
        <v>2341</v>
      </c>
      <c r="U538" s="331"/>
    </row>
    <row r="539" spans="1:21" ht="16.350000000000001" hidden="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2325</v>
      </c>
      <c r="J539" s="142" t="s">
        <v>2375</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3" t="s">
        <v>2341</v>
      </c>
      <c r="U539" s="331" t="s">
        <v>2329</v>
      </c>
    </row>
    <row r="540" spans="1:21" ht="16.350000000000001" hidden="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3" t="s">
        <v>2341</v>
      </c>
      <c r="U540" s="331"/>
    </row>
    <row r="541" spans="1:21" ht="16.350000000000001" hidden="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3" t="s">
        <v>2341</v>
      </c>
      <c r="U541" s="331"/>
    </row>
    <row r="542" spans="1:21" ht="16.350000000000001" hidden="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3" t="s">
        <v>2341</v>
      </c>
      <c r="U542" s="331"/>
    </row>
    <row r="543" spans="1:21" ht="16.350000000000001" hidden="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3" t="s">
        <v>2341</v>
      </c>
      <c r="U543" s="331"/>
    </row>
    <row r="544" spans="1:21" ht="16.350000000000001" hidden="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3" t="s">
        <v>2341</v>
      </c>
      <c r="U544" s="331"/>
    </row>
    <row r="545" spans="1:21" ht="16.350000000000001" hidden="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3" t="s">
        <v>2341</v>
      </c>
      <c r="U545" s="331"/>
    </row>
    <row r="546" spans="1:21" ht="16.350000000000001" hidden="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3" t="s">
        <v>2341</v>
      </c>
      <c r="U546" s="331"/>
    </row>
    <row r="547" spans="1:21" ht="16.350000000000001" hidden="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3" t="s">
        <v>2341</v>
      </c>
      <c r="U547" s="331"/>
    </row>
    <row r="548" spans="1:21" ht="16.350000000000001" hidden="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3" t="s">
        <v>2341</v>
      </c>
      <c r="U548" s="331"/>
    </row>
    <row r="549" spans="1:21" ht="16.350000000000001" hidden="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3" t="s">
        <v>2341</v>
      </c>
      <c r="U549" s="331"/>
    </row>
    <row r="550" spans="1:21" ht="16.350000000000001" hidden="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2375</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3" t="s">
        <v>2341</v>
      </c>
      <c r="U550" s="331"/>
    </row>
    <row r="551" spans="1:21" ht="16.350000000000001" hidden="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2375</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3" t="s">
        <v>2341</v>
      </c>
      <c r="U551" s="331"/>
    </row>
    <row r="552" spans="1:21" ht="16.350000000000001" hidden="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2375</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3" t="s">
        <v>2341</v>
      </c>
      <c r="U552" s="331"/>
    </row>
    <row r="553" spans="1:21" ht="16.350000000000001" hidden="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2375</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3" t="s">
        <v>2341</v>
      </c>
      <c r="U553" s="331"/>
    </row>
    <row r="554" spans="1:21" ht="16.350000000000001" hidden="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2375</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3" t="s">
        <v>2341</v>
      </c>
      <c r="U554" s="331"/>
    </row>
    <row r="555" spans="1:21" ht="16.350000000000001" hidden="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2375</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3" t="s">
        <v>2341</v>
      </c>
      <c r="U555" s="331"/>
    </row>
    <row r="556" spans="1:21" ht="16.2" hidden="1">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2375</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3" t="s">
        <v>2341</v>
      </c>
      <c r="U556" s="331"/>
    </row>
    <row r="557" spans="1:21" ht="16.2" hidden="1">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2375</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3" t="s">
        <v>2341</v>
      </c>
      <c r="U557" s="331"/>
    </row>
    <row r="558" spans="1:21" ht="16.2" hidden="1">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613</v>
      </c>
      <c r="I558" s="142"/>
      <c r="J558" s="142" t="s">
        <v>2375</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3" t="s">
        <v>2341</v>
      </c>
      <c r="U558" s="331"/>
    </row>
    <row r="559" spans="1:21" ht="16.350000000000001" hidden="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613</v>
      </c>
      <c r="I559" s="142"/>
      <c r="J559" s="142" t="s">
        <v>2375</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3" t="s">
        <v>2341</v>
      </c>
      <c r="U559" s="331"/>
    </row>
    <row r="560" spans="1:21" ht="16.350000000000001" hidden="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3" t="s">
        <v>2341</v>
      </c>
      <c r="U560" s="331"/>
    </row>
    <row r="561" spans="1:21" ht="16.350000000000001" hidden="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3" t="s">
        <v>2341</v>
      </c>
      <c r="U561" s="331" t="s">
        <v>1863</v>
      </c>
    </row>
    <row r="562" spans="1:21" ht="16.350000000000001" hidden="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3" t="s">
        <v>2341</v>
      </c>
      <c r="U562" s="331" t="s">
        <v>2331</v>
      </c>
    </row>
    <row r="563" spans="1:21" ht="16.350000000000001" hidden="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3" t="s">
        <v>2341</v>
      </c>
      <c r="U563" s="331" t="s">
        <v>2331</v>
      </c>
    </row>
    <row r="564" spans="1:21" ht="16.2" hidden="1">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3" t="s">
        <v>2341</v>
      </c>
      <c r="U564" s="331"/>
    </row>
    <row r="565" spans="1:21" ht="16.2" hidden="1">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2375</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3" t="s">
        <v>2341</v>
      </c>
      <c r="U565" s="331" t="s">
        <v>1864</v>
      </c>
    </row>
    <row r="566" spans="1:21" ht="16.2" hidden="1">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2375</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3" t="s">
        <v>2341</v>
      </c>
      <c r="U566" s="331" t="s">
        <v>1864</v>
      </c>
    </row>
    <row r="567" spans="1:21" ht="16.2" hidden="1">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2375</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3" t="s">
        <v>2341</v>
      </c>
      <c r="U567" s="331" t="s">
        <v>1864</v>
      </c>
    </row>
    <row r="568" spans="1:21" ht="16.2" hidden="1">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3" t="s">
        <v>2341</v>
      </c>
      <c r="U568" s="331"/>
    </row>
    <row r="569" spans="1:21" ht="16.2" hidden="1">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3" t="s">
        <v>2341</v>
      </c>
      <c r="U569" s="331"/>
    </row>
    <row r="570" spans="1:21" ht="16.2" hidden="1">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3" t="s">
        <v>2341</v>
      </c>
      <c r="U570" s="331"/>
    </row>
    <row r="571" spans="1:21" ht="16.2" hidden="1">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3" t="s">
        <v>2341</v>
      </c>
      <c r="U571" s="331"/>
    </row>
    <row r="572" spans="1:21" ht="16.2" hidden="1">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3" t="s">
        <v>2341</v>
      </c>
      <c r="U572" s="331"/>
    </row>
    <row r="573" spans="1:21" ht="16.2" hidden="1">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3" t="s">
        <v>2341</v>
      </c>
      <c r="U573" s="331"/>
    </row>
    <row r="574" spans="1:21" ht="16.2" hidden="1">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3" t="s">
        <v>2341</v>
      </c>
      <c r="U574" s="331"/>
    </row>
    <row r="575" spans="1:21" ht="16.350000000000001" hidden="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3" t="s">
        <v>2341</v>
      </c>
      <c r="U575" s="331"/>
    </row>
    <row r="576" spans="1:21" ht="16.350000000000001" hidden="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3" t="s">
        <v>2341</v>
      </c>
      <c r="U576" s="331"/>
    </row>
    <row r="577" spans="1:21" ht="16.350000000000001" hidden="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3" t="s">
        <v>2341</v>
      </c>
      <c r="U577" s="331"/>
    </row>
    <row r="578" spans="1:21" ht="16.350000000000001" hidden="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3" t="s">
        <v>2341</v>
      </c>
      <c r="U578" s="331"/>
    </row>
    <row r="579" spans="1:21" ht="16.350000000000001" hidden="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3" t="s">
        <v>2341</v>
      </c>
      <c r="U579" s="331"/>
    </row>
    <row r="580" spans="1:21" ht="16.350000000000001" hidden="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3" t="s">
        <v>2341</v>
      </c>
      <c r="U580" s="331"/>
    </row>
    <row r="581" spans="1:21" ht="16.350000000000001" hidden="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3" t="s">
        <v>2341</v>
      </c>
      <c r="U581" s="331"/>
    </row>
    <row r="582" spans="1:21" ht="16.350000000000001" hidden="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3" t="s">
        <v>2341</v>
      </c>
      <c r="U582" s="331"/>
    </row>
    <row r="583" spans="1:21" ht="16.350000000000001" hidden="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3" t="s">
        <v>2341</v>
      </c>
      <c r="U583" s="331"/>
    </row>
    <row r="584" spans="1:21" ht="16.350000000000001" hidden="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3" t="s">
        <v>2341</v>
      </c>
      <c r="U584" s="331"/>
    </row>
    <row r="585" spans="1:21" ht="16.350000000000001" hidden="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3" t="s">
        <v>2341</v>
      </c>
      <c r="U585" s="331"/>
    </row>
    <row r="586" spans="1:21" ht="16.350000000000001" hidden="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3" t="s">
        <v>2341</v>
      </c>
      <c r="U586" s="331"/>
    </row>
    <row r="587" spans="1:21" ht="16.350000000000001" hidden="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3" t="s">
        <v>2341</v>
      </c>
      <c r="U587" s="331"/>
    </row>
    <row r="588" spans="1:21" ht="16.350000000000001" hidden="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3" t="s">
        <v>2341</v>
      </c>
      <c r="U588" s="331"/>
    </row>
    <row r="589" spans="1:21" ht="16.350000000000001" hidden="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3" t="s">
        <v>2341</v>
      </c>
      <c r="U589" s="331"/>
    </row>
    <row r="590" spans="1:21" ht="16.350000000000001" hidden="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3" t="s">
        <v>2341</v>
      </c>
      <c r="U590" s="331"/>
    </row>
    <row r="591" spans="1:21" ht="16.350000000000001" hidden="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3" t="s">
        <v>2341</v>
      </c>
      <c r="U591" s="331"/>
    </row>
    <row r="592" spans="1:21" ht="16.350000000000001" hidden="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3" t="s">
        <v>2341</v>
      </c>
      <c r="U592" s="331"/>
    </row>
    <row r="593" spans="1:21" ht="16.350000000000001" hidden="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3" t="s">
        <v>2341</v>
      </c>
      <c r="U593" s="331"/>
    </row>
    <row r="594" spans="1:21" ht="16.350000000000001" hidden="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3" t="s">
        <v>2341</v>
      </c>
      <c r="U594" s="331"/>
    </row>
    <row r="595" spans="1:21" ht="16.350000000000001" hidden="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3" t="s">
        <v>2341</v>
      </c>
      <c r="U595" s="331"/>
    </row>
    <row r="596" spans="1:21" ht="16.350000000000001" hidden="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3" t="s">
        <v>2341</v>
      </c>
      <c r="U596" s="331"/>
    </row>
    <row r="597" spans="1:21" ht="16.350000000000001" hidden="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3" t="s">
        <v>2341</v>
      </c>
      <c r="U597" s="331"/>
    </row>
    <row r="598" spans="1:21" ht="16.350000000000001" hidden="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3" t="s">
        <v>2341</v>
      </c>
      <c r="U598" s="331"/>
    </row>
    <row r="599" spans="1:21" ht="16.350000000000001" hidden="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3" t="s">
        <v>2341</v>
      </c>
      <c r="U599" s="331"/>
    </row>
    <row r="600" spans="1:21" ht="16.350000000000001" hidden="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3" t="s">
        <v>2341</v>
      </c>
      <c r="U600" s="331"/>
    </row>
    <row r="601" spans="1:21" ht="16.350000000000001" hidden="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3" t="s">
        <v>2341</v>
      </c>
      <c r="U601" s="331"/>
    </row>
    <row r="602" spans="1:21" ht="16.350000000000001" hidden="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3" t="s">
        <v>2341</v>
      </c>
      <c r="U602" s="331"/>
    </row>
    <row r="603" spans="1:21" ht="16.350000000000001" hidden="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3" t="s">
        <v>2341</v>
      </c>
      <c r="U603" s="331"/>
    </row>
    <row r="604" spans="1:21" ht="16.350000000000001" hidden="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3" t="s">
        <v>2341</v>
      </c>
      <c r="U604" s="331"/>
    </row>
    <row r="605" spans="1:21" ht="16.350000000000001" hidden="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3" t="s">
        <v>2341</v>
      </c>
      <c r="U605" s="331"/>
    </row>
    <row r="606" spans="1:21" ht="16.350000000000001" hidden="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3" t="s">
        <v>2341</v>
      </c>
      <c r="U606" s="331"/>
    </row>
    <row r="607" spans="1:21" ht="16.350000000000001" hidden="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3" t="s">
        <v>2341</v>
      </c>
      <c r="U607" s="331"/>
    </row>
    <row r="608" spans="1:21" ht="16.350000000000001" hidden="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3" t="s">
        <v>2341</v>
      </c>
      <c r="U608" s="331"/>
    </row>
    <row r="609" spans="1:21" ht="16.350000000000001" hidden="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3" t="s">
        <v>2341</v>
      </c>
      <c r="U609" s="331"/>
    </row>
    <row r="610" spans="1:21" ht="16.350000000000001" hidden="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3" t="s">
        <v>2341</v>
      </c>
      <c r="U610" s="331"/>
    </row>
    <row r="611" spans="1:21" ht="16.350000000000001" hidden="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3" t="s">
        <v>2341</v>
      </c>
      <c r="U611" s="331"/>
    </row>
    <row r="612" spans="1:21" ht="16.350000000000001" hidden="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614</v>
      </c>
      <c r="I612" s="388" t="s">
        <v>2259</v>
      </c>
      <c r="J612" s="388" t="s">
        <v>2375</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3" t="s">
        <v>2341</v>
      </c>
      <c r="U612" s="331" t="s">
        <v>2327</v>
      </c>
    </row>
    <row r="613" spans="1:21" ht="16.350000000000001" hidden="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t="s">
        <v>28</v>
      </c>
      <c r="I613" s="388" t="s">
        <v>2258</v>
      </c>
      <c r="J613" s="388" t="s">
        <v>2375</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2405</v>
      </c>
      <c r="S613" s="403" t="s">
        <v>2382</v>
      </c>
      <c r="T613" s="403" t="s">
        <v>2342</v>
      </c>
      <c r="U613" s="331" t="s">
        <v>2327</v>
      </c>
    </row>
    <row r="614" spans="1:21" ht="16.350000000000001" hidden="1" customHeight="1">
      <c r="A614" s="29" t="str">
        <f t="shared" si="10"/>
        <v>lt007_instr_activityDT_RFRNC</v>
      </c>
      <c r="B614" s="141" t="s">
        <v>26</v>
      </c>
      <c r="C614" s="137" t="s">
        <v>26</v>
      </c>
      <c r="D614" s="133" t="s">
        <v>40</v>
      </c>
      <c r="E614" s="136" t="s">
        <v>1867</v>
      </c>
      <c r="F614" s="384" t="s">
        <v>1305</v>
      </c>
      <c r="G614" s="135" t="str">
        <f>VLOOKUP(A614,Plano_V3!$A$26:$G$759,7,0)</f>
        <v xml:space="preserve">6. Em implementação </v>
      </c>
      <c r="H614" s="135" t="s">
        <v>28</v>
      </c>
      <c r="I614" s="388" t="s">
        <v>2257</v>
      </c>
      <c r="J614" s="388" t="s">
        <v>2375</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2405</v>
      </c>
      <c r="S614" s="403" t="s">
        <v>2382</v>
      </c>
      <c r="T614" s="403" t="s">
        <v>2342</v>
      </c>
      <c r="U614" s="331" t="s">
        <v>2327</v>
      </c>
    </row>
    <row r="615" spans="1:21" ht="16.350000000000001" hidden="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t="s">
        <v>28</v>
      </c>
      <c r="I615" s="388" t="s">
        <v>2258</v>
      </c>
      <c r="J615" s="388" t="s">
        <v>2375</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2405</v>
      </c>
      <c r="S615" s="403" t="s">
        <v>2382</v>
      </c>
      <c r="T615" s="403" t="s">
        <v>2342</v>
      </c>
      <c r="U615" s="331" t="s">
        <v>2327</v>
      </c>
    </row>
    <row r="616" spans="1:21" ht="16.350000000000001" hidden="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t="s">
        <v>28</v>
      </c>
      <c r="I616" s="388" t="s">
        <v>2259</v>
      </c>
      <c r="J616" s="388" t="s">
        <v>2375</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2405</v>
      </c>
      <c r="S616" s="403" t="s">
        <v>2382</v>
      </c>
      <c r="T616" s="403" t="s">
        <v>2342</v>
      </c>
      <c r="U616" s="331" t="s">
        <v>2327</v>
      </c>
    </row>
    <row r="617" spans="1:21" ht="16.350000000000001" hidden="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t="s">
        <v>28</v>
      </c>
      <c r="I617" s="388" t="s">
        <v>2259</v>
      </c>
      <c r="J617" s="388" t="s">
        <v>2375</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2406</v>
      </c>
      <c r="S617" s="403" t="s">
        <v>2382</v>
      </c>
      <c r="T617" s="403" t="s">
        <v>2342</v>
      </c>
      <c r="U617" s="331" t="s">
        <v>2327</v>
      </c>
    </row>
    <row r="618" spans="1:21" ht="16.350000000000001" hidden="1" customHeight="1">
      <c r="A618" s="29" t="str">
        <f t="shared" si="10"/>
        <v>lt007_instr_activityFLG_DNSH_CMPLNC</v>
      </c>
      <c r="B618" s="141" t="s">
        <v>26</v>
      </c>
      <c r="C618" s="137" t="s">
        <v>26</v>
      </c>
      <c r="D618" s="133" t="s">
        <v>40</v>
      </c>
      <c r="E618" s="136" t="s">
        <v>1867</v>
      </c>
      <c r="F618" s="384" t="s">
        <v>2311</v>
      </c>
      <c r="G618" s="135" t="str">
        <f>VLOOKUP(A618,Plano_V3!$A$26:$G$759,7,0)</f>
        <v xml:space="preserve">6. Em implementação </v>
      </c>
      <c r="H618" s="135" t="s">
        <v>28</v>
      </c>
      <c r="I618" s="388" t="s">
        <v>2325</v>
      </c>
      <c r="J618" s="388" t="s">
        <v>2375</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2406</v>
      </c>
      <c r="S618" s="403" t="s">
        <v>2382</v>
      </c>
      <c r="T618" s="403" t="s">
        <v>2342</v>
      </c>
      <c r="U618" s="331" t="s">
        <v>2329</v>
      </c>
    </row>
    <row r="619" spans="1:21" ht="16.350000000000001" hidden="1" customHeight="1">
      <c r="A619" s="29" t="str">
        <f t="shared" si="10"/>
        <v>lt007_instr_activityDNSH_DTL</v>
      </c>
      <c r="B619" s="141" t="s">
        <v>26</v>
      </c>
      <c r="C619" s="137" t="s">
        <v>26</v>
      </c>
      <c r="D619" s="133" t="s">
        <v>40</v>
      </c>
      <c r="E619" s="136" t="s">
        <v>1867</v>
      </c>
      <c r="F619" s="384" t="s">
        <v>2312</v>
      </c>
      <c r="G619" s="135" t="str">
        <f>VLOOKUP(A619,Plano_V3!$A$26:$G$759,7,0)</f>
        <v xml:space="preserve">6. Em implementação </v>
      </c>
      <c r="H619" s="135" t="s">
        <v>28</v>
      </c>
      <c r="I619" s="388" t="s">
        <v>2325</v>
      </c>
      <c r="J619" s="388" t="s">
        <v>2375</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2406</v>
      </c>
      <c r="S619" s="403" t="s">
        <v>2382</v>
      </c>
      <c r="T619" s="403" t="s">
        <v>2342</v>
      </c>
      <c r="U619" s="331" t="s">
        <v>2329</v>
      </c>
    </row>
    <row r="620" spans="1:21" ht="16.350000000000001" hidden="1" customHeight="1">
      <c r="A620" s="29" t="str">
        <f t="shared" si="9"/>
        <v>lt007_instr_activitysstnbl_ctgry</v>
      </c>
      <c r="B620" s="141" t="s">
        <v>26</v>
      </c>
      <c r="C620" s="137" t="s">
        <v>26</v>
      </c>
      <c r="D620" s="133" t="s">
        <v>40</v>
      </c>
      <c r="E620" s="136" t="s">
        <v>1867</v>
      </c>
      <c r="F620" s="136" t="s">
        <v>419</v>
      </c>
      <c r="G620" s="135" t="str">
        <f>VLOOKUP(A620,Plano_V3!$A$26:$G$759,7,0)</f>
        <v>4. Validação EF</v>
      </c>
      <c r="H620" s="135" t="s">
        <v>614</v>
      </c>
      <c r="I620" s="388" t="s">
        <v>2259</v>
      </c>
      <c r="J620" s="388" t="s">
        <v>2375</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3" t="s">
        <v>2341</v>
      </c>
      <c r="U620" s="331" t="s">
        <v>2327</v>
      </c>
    </row>
    <row r="621" spans="1:21" ht="16.350000000000001" hidden="1" customHeight="1">
      <c r="A621" s="29" t="str">
        <f t="shared" si="9"/>
        <v>lt002_instrumentgrss_intrst_incm</v>
      </c>
      <c r="B621" s="141" t="s">
        <v>26</v>
      </c>
      <c r="C621" s="137" t="s">
        <v>26</v>
      </c>
      <c r="D621" s="133" t="s">
        <v>40</v>
      </c>
      <c r="E621" s="136" t="s">
        <v>379</v>
      </c>
      <c r="F621" s="136" t="s">
        <v>420</v>
      </c>
      <c r="G621" s="135" t="str">
        <f>VLOOKUP(A621,Plano_V3!$A$26:$G$759,7,0)</f>
        <v>2.2 Em especificação</v>
      </c>
      <c r="H621" s="135" t="s">
        <v>2339</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3" t="s">
        <v>2341</v>
      </c>
      <c r="U621" s="331" t="s">
        <v>1864</v>
      </c>
    </row>
    <row r="622" spans="1:21" ht="16.350000000000001" hidden="1" customHeight="1">
      <c r="A622" s="29" t="str">
        <f t="shared" ref="A622:A731" si="11">E622&amp;F622</f>
        <v>lt002_instrumentgrss_cmmssn_incm</v>
      </c>
      <c r="B622" s="141" t="s">
        <v>26</v>
      </c>
      <c r="C622" s="137" t="s">
        <v>26</v>
      </c>
      <c r="D622" s="133" t="s">
        <v>40</v>
      </c>
      <c r="E622" s="136" t="s">
        <v>379</v>
      </c>
      <c r="F622" s="136" t="s">
        <v>421</v>
      </c>
      <c r="G622" s="135" t="str">
        <f>VLOOKUP(A622,Plano_V3!$A$26:$G$759,7,0)</f>
        <v>2.2 Em especificação</v>
      </c>
      <c r="H622" s="135" t="s">
        <v>2339</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3" t="s">
        <v>2341</v>
      </c>
      <c r="U622" s="331" t="s">
        <v>1864</v>
      </c>
    </row>
    <row r="623" spans="1:21" ht="16.350000000000001" hidden="1" customHeight="1">
      <c r="A623" s="29" t="str">
        <f t="shared" si="11"/>
        <v>lt002_instrumentgrss_cmmssn_incm_off_blnc</v>
      </c>
      <c r="B623" s="141" t="s">
        <v>26</v>
      </c>
      <c r="C623" s="137" t="s">
        <v>26</v>
      </c>
      <c r="D623" s="133" t="s">
        <v>40</v>
      </c>
      <c r="E623" s="136" t="s">
        <v>379</v>
      </c>
      <c r="F623" s="136" t="s">
        <v>422</v>
      </c>
      <c r="G623" s="135" t="str">
        <f>VLOOKUP(A623,Plano_V3!$A$26:$G$759,7,0)</f>
        <v>2.2 Em especificação</v>
      </c>
      <c r="H623" s="135" t="s">
        <v>2339</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3" t="s">
        <v>2341</v>
      </c>
      <c r="U623" s="331" t="s">
        <v>1864</v>
      </c>
    </row>
    <row r="624" spans="1:21" ht="16.350000000000001" hidden="1" customHeight="1">
      <c r="A624" s="29" t="str">
        <f t="shared" ref="A624:A640" si="12">E624&amp;F624</f>
        <v>lt002_instrumentidcmb</v>
      </c>
      <c r="B624" s="141" t="s">
        <v>26</v>
      </c>
      <c r="C624" s="137" t="s">
        <v>26</v>
      </c>
      <c r="D624" s="133" t="s">
        <v>40</v>
      </c>
      <c r="E624" s="136" t="s">
        <v>379</v>
      </c>
      <c r="F624" s="136"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3" t="s">
        <v>2341</v>
      </c>
      <c r="U624" s="331"/>
    </row>
    <row r="625" spans="1:21" ht="16.350000000000001" hidden="1" customHeight="1">
      <c r="A625" s="29" t="str">
        <f t="shared" si="12"/>
        <v>lt002_instrumentFRBRNC_STTS_INSTRMNT</v>
      </c>
      <c r="B625" s="141" t="s">
        <v>26</v>
      </c>
      <c r="C625" s="137" t="s">
        <v>26</v>
      </c>
      <c r="D625" s="377" t="s">
        <v>40</v>
      </c>
      <c r="E625" s="390" t="s">
        <v>379</v>
      </c>
      <c r="F625" s="384" t="s">
        <v>2180</v>
      </c>
      <c r="G625" s="382" t="str">
        <f>VLOOKUP(A625,Plano_V3!$A$26:$G$759,7,0)</f>
        <v xml:space="preserve">6. Em implementação </v>
      </c>
      <c r="H625" s="135" t="s">
        <v>28</v>
      </c>
      <c r="I625" s="391" t="s">
        <v>2328</v>
      </c>
      <c r="J625" s="388" t="s">
        <v>2375</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2407</v>
      </c>
      <c r="S625" s="403" t="s">
        <v>2381</v>
      </c>
      <c r="T625" s="403" t="s">
        <v>2342</v>
      </c>
      <c r="U625" s="331" t="s">
        <v>1863</v>
      </c>
    </row>
    <row r="626" spans="1:21" ht="16.350000000000001" hidden="1" customHeight="1">
      <c r="A626" s="29" t="str">
        <f t="shared" si="12"/>
        <v>lt002_instrumentINTRNL_SGMNT</v>
      </c>
      <c r="B626" s="141" t="s">
        <v>26</v>
      </c>
      <c r="C626" s="137" t="s">
        <v>26</v>
      </c>
      <c r="D626" s="377" t="s">
        <v>40</v>
      </c>
      <c r="E626" s="390" t="s">
        <v>379</v>
      </c>
      <c r="F626" s="384" t="s">
        <v>2181</v>
      </c>
      <c r="G626" s="382" t="str">
        <f>VLOOKUP(A626,Plano_V3!$A$26:$G$759,7,0)</f>
        <v xml:space="preserve">6. Em implementação </v>
      </c>
      <c r="H626" s="135" t="s">
        <v>28</v>
      </c>
      <c r="I626" s="391" t="s">
        <v>2323</v>
      </c>
      <c r="J626" s="388" t="s">
        <v>2375</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2408</v>
      </c>
      <c r="S626" s="403" t="s">
        <v>2381</v>
      </c>
      <c r="T626" s="403" t="s">
        <v>2342</v>
      </c>
      <c r="U626" s="331" t="s">
        <v>1864</v>
      </c>
    </row>
    <row r="627" spans="1:21" ht="16.350000000000001" hidden="1" customHeight="1">
      <c r="A627" s="29" t="str">
        <f t="shared" si="12"/>
        <v>lt002_instrumentDT_ORGNL_MTRTY</v>
      </c>
      <c r="B627" s="141" t="s">
        <v>26</v>
      </c>
      <c r="C627" s="137" t="s">
        <v>26</v>
      </c>
      <c r="D627" s="377" t="s">
        <v>40</v>
      </c>
      <c r="E627" s="390" t="s">
        <v>379</v>
      </c>
      <c r="F627" s="384" t="s">
        <v>2182</v>
      </c>
      <c r="G627" s="382" t="str">
        <f>VLOOKUP(A627,Plano_V3!$A$26:$G$759,7,0)</f>
        <v xml:space="preserve">6. Em implementação </v>
      </c>
      <c r="H627" s="135" t="s">
        <v>28</v>
      </c>
      <c r="I627" s="391" t="s">
        <v>2323</v>
      </c>
      <c r="J627" s="388" t="s">
        <v>2375</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2409</v>
      </c>
      <c r="S627" s="403" t="s">
        <v>2381</v>
      </c>
      <c r="T627" s="403" t="s">
        <v>2342</v>
      </c>
      <c r="U627" s="331" t="s">
        <v>1864</v>
      </c>
    </row>
    <row r="628" spans="1:21" ht="16.350000000000001" hidden="1" customHeight="1">
      <c r="A628" s="29" t="str">
        <f t="shared" si="12"/>
        <v>lt002_instrumentEAD</v>
      </c>
      <c r="B628" s="141" t="s">
        <v>26</v>
      </c>
      <c r="C628" s="137" t="s">
        <v>26</v>
      </c>
      <c r="D628" s="377" t="s">
        <v>40</v>
      </c>
      <c r="E628" s="390" t="s">
        <v>379</v>
      </c>
      <c r="F628" s="384" t="s">
        <v>2183</v>
      </c>
      <c r="G628" s="382" t="str">
        <f>VLOOKUP(A628,Plano_V3!$A$26:$G$759,7,0)</f>
        <v xml:space="preserve">6. Em implementação </v>
      </c>
      <c r="H628" s="135" t="s">
        <v>28</v>
      </c>
      <c r="I628" s="391" t="s">
        <v>2323</v>
      </c>
      <c r="J628" s="388" t="s">
        <v>2375</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2410</v>
      </c>
      <c r="S628" s="403" t="s">
        <v>2381</v>
      </c>
      <c r="T628" s="403" t="s">
        <v>2342</v>
      </c>
      <c r="U628" s="331" t="s">
        <v>1864</v>
      </c>
    </row>
    <row r="629" spans="1:21" ht="16.350000000000001" hidden="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t="s">
        <v>28</v>
      </c>
      <c r="I629" s="391" t="s">
        <v>2324</v>
      </c>
      <c r="J629" s="388" t="s">
        <v>2375</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2411</v>
      </c>
      <c r="S629" s="403" t="s">
        <v>2381</v>
      </c>
      <c r="T629" s="403" t="s">
        <v>2342</v>
      </c>
      <c r="U629" s="331" t="s">
        <v>1864</v>
      </c>
    </row>
    <row r="630" spans="1:21" ht="16.350000000000001" hidden="1" customHeight="1">
      <c r="A630" s="29" t="str">
        <f t="shared" si="12"/>
        <v>lt002_instrumentRWA</v>
      </c>
      <c r="B630" s="141" t="s">
        <v>26</v>
      </c>
      <c r="C630" s="137" t="s">
        <v>26</v>
      </c>
      <c r="D630" s="377" t="s">
        <v>40</v>
      </c>
      <c r="E630" s="390" t="s">
        <v>379</v>
      </c>
      <c r="F630" s="384" t="s">
        <v>1425</v>
      </c>
      <c r="G630" s="382" t="str">
        <f>VLOOKUP(A630,Plano_V3!$A$26:$G$759,7,0)</f>
        <v xml:space="preserve">6. Em implementação </v>
      </c>
      <c r="H630" s="135" t="s">
        <v>28</v>
      </c>
      <c r="I630" s="391" t="s">
        <v>2323</v>
      </c>
      <c r="J630" s="388" t="s">
        <v>2375</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2412</v>
      </c>
      <c r="S630" s="403" t="s">
        <v>2381</v>
      </c>
      <c r="T630" s="403" t="s">
        <v>2342</v>
      </c>
      <c r="U630" s="331" t="s">
        <v>1864</v>
      </c>
    </row>
    <row r="631" spans="1:21" ht="16.350000000000001" hidden="1" customHeight="1">
      <c r="A631" s="29" t="str">
        <f t="shared" si="12"/>
        <v>lt002_instrumentLTV</v>
      </c>
      <c r="B631" s="141" t="s">
        <v>26</v>
      </c>
      <c r="C631" s="137" t="s">
        <v>26</v>
      </c>
      <c r="D631" s="377" t="s">
        <v>40</v>
      </c>
      <c r="E631" s="390" t="s">
        <v>379</v>
      </c>
      <c r="F631" s="384" t="s">
        <v>2184</v>
      </c>
      <c r="G631" s="382" t="str">
        <f>VLOOKUP(A631,Plano_V3!$A$26:$G$759,7,0)</f>
        <v xml:space="preserve">6. Em implementação </v>
      </c>
      <c r="H631" s="135" t="s">
        <v>28</v>
      </c>
      <c r="I631" s="391" t="s">
        <v>2323</v>
      </c>
      <c r="J631" s="388" t="s">
        <v>2375</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2413</v>
      </c>
      <c r="S631" s="403" t="s">
        <v>2381</v>
      </c>
      <c r="T631" s="403" t="s">
        <v>2342</v>
      </c>
      <c r="U631" s="331" t="s">
        <v>1864</v>
      </c>
    </row>
    <row r="632" spans="1:21" ht="16.350000000000001" hidden="1" customHeight="1">
      <c r="A632" s="29" t="str">
        <f t="shared" si="12"/>
        <v>lt002_instrumentLTV_INCPTN</v>
      </c>
      <c r="B632" s="141" t="s">
        <v>26</v>
      </c>
      <c r="C632" s="137" t="s">
        <v>26</v>
      </c>
      <c r="D632" s="377" t="s">
        <v>40</v>
      </c>
      <c r="E632" s="390" t="s">
        <v>379</v>
      </c>
      <c r="F632" s="384" t="s">
        <v>2185</v>
      </c>
      <c r="G632" s="382" t="str">
        <f>VLOOKUP(A632,Plano_V3!$A$26:$G$759,7,0)</f>
        <v xml:space="preserve">6. Em implementação </v>
      </c>
      <c r="H632" s="135" t="s">
        <v>28</v>
      </c>
      <c r="I632" s="391" t="s">
        <v>2323</v>
      </c>
      <c r="J632" s="388" t="s">
        <v>2375</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2413</v>
      </c>
      <c r="S632" s="403" t="s">
        <v>2381</v>
      </c>
      <c r="T632" s="403" t="s">
        <v>2342</v>
      </c>
      <c r="U632" s="331" t="s">
        <v>1863</v>
      </c>
    </row>
    <row r="633" spans="1:21" ht="16.350000000000001" hidden="1" customHeight="1">
      <c r="A633" s="29" t="str">
        <f t="shared" si="12"/>
        <v>lt002_instrumentEIR</v>
      </c>
      <c r="B633" s="141" t="s">
        <v>26</v>
      </c>
      <c r="C633" s="137" t="s">
        <v>26</v>
      </c>
      <c r="D633" s="377" t="s">
        <v>40</v>
      </c>
      <c r="E633" s="390" t="s">
        <v>379</v>
      </c>
      <c r="F633" s="384" t="s">
        <v>2186</v>
      </c>
      <c r="G633" s="382" t="str">
        <f>VLOOKUP(A633,Plano_V3!$A$26:$G$759,7,0)</f>
        <v xml:space="preserve">6. Em implementação </v>
      </c>
      <c r="H633" s="135" t="s">
        <v>28</v>
      </c>
      <c r="I633" s="391" t="s">
        <v>2323</v>
      </c>
      <c r="J633" s="388" t="s">
        <v>2375</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2407</v>
      </c>
      <c r="S633" s="403" t="s">
        <v>2381</v>
      </c>
      <c r="T633" s="403" t="s">
        <v>2342</v>
      </c>
      <c r="U633" s="331" t="s">
        <v>1863</v>
      </c>
    </row>
    <row r="634" spans="1:21" ht="16.350000000000001" hidden="1" customHeight="1">
      <c r="A634" s="29" t="str">
        <f t="shared" si="12"/>
        <v>lt002_instrumentEIR_INCPTN</v>
      </c>
      <c r="B634" s="141" t="s">
        <v>26</v>
      </c>
      <c r="C634" s="137" t="s">
        <v>26</v>
      </c>
      <c r="D634" s="377" t="s">
        <v>40</v>
      </c>
      <c r="E634" s="390" t="s">
        <v>379</v>
      </c>
      <c r="F634" s="384" t="s">
        <v>2187</v>
      </c>
      <c r="G634" s="382" t="str">
        <f>VLOOKUP(A634,Plano_V3!$A$26:$G$759,7,0)</f>
        <v xml:space="preserve">6. Em implementação </v>
      </c>
      <c r="H634" s="135" t="s">
        <v>28</v>
      </c>
      <c r="I634" s="391" t="s">
        <v>2323</v>
      </c>
      <c r="J634" s="388" t="s">
        <v>2375</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2413</v>
      </c>
      <c r="S634" s="403" t="s">
        <v>2381</v>
      </c>
      <c r="T634" s="403" t="s">
        <v>2342</v>
      </c>
      <c r="U634" s="331" t="s">
        <v>1863</v>
      </c>
    </row>
    <row r="635" spans="1:21" ht="16.350000000000001" hidden="1" customHeight="1">
      <c r="A635" s="29" t="str">
        <f t="shared" si="12"/>
        <v>lt002_instrumentINTRNL_SGMNT_CAT_MSTA</v>
      </c>
      <c r="B635" s="141" t="s">
        <v>26</v>
      </c>
      <c r="C635" s="137" t="s">
        <v>26</v>
      </c>
      <c r="D635" s="377" t="s">
        <v>40</v>
      </c>
      <c r="E635" s="390" t="s">
        <v>379</v>
      </c>
      <c r="F635" s="384" t="s">
        <v>2188</v>
      </c>
      <c r="G635" s="382" t="str">
        <f>VLOOKUP(A635,Plano_V3!$A$26:$G$759,7,0)</f>
        <v xml:space="preserve">6. Em implementação </v>
      </c>
      <c r="H635" s="135" t="s">
        <v>28</v>
      </c>
      <c r="I635" s="391" t="s">
        <v>2323</v>
      </c>
      <c r="J635" s="388" t="s">
        <v>2375</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2414</v>
      </c>
      <c r="S635" s="403" t="s">
        <v>2381</v>
      </c>
      <c r="T635" s="403" t="s">
        <v>2342</v>
      </c>
      <c r="U635" s="331" t="s">
        <v>1863</v>
      </c>
    </row>
    <row r="636" spans="1:21" ht="16.350000000000001" hidden="1" customHeight="1">
      <c r="A636" s="29" t="str">
        <f t="shared" si="12"/>
        <v>lt002_instrumentINTRNL_SGMNT_CATGSUB</v>
      </c>
      <c r="B636" s="141" t="s">
        <v>26</v>
      </c>
      <c r="C636" s="137" t="s">
        <v>26</v>
      </c>
      <c r="D636" s="377" t="s">
        <v>40</v>
      </c>
      <c r="E636" s="390" t="s">
        <v>379</v>
      </c>
      <c r="F636" s="384" t="s">
        <v>2189</v>
      </c>
      <c r="G636" s="382" t="str">
        <f>VLOOKUP(A636,Plano_V3!$A$26:$G$759,7,0)</f>
        <v xml:space="preserve">6. Em implementação </v>
      </c>
      <c r="H636" s="135" t="s">
        <v>28</v>
      </c>
      <c r="I636" s="391" t="s">
        <v>2323</v>
      </c>
      <c r="J636" s="388" t="s">
        <v>2375</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2414</v>
      </c>
      <c r="S636" s="403" t="s">
        <v>2381</v>
      </c>
      <c r="T636" s="403" t="s">
        <v>2342</v>
      </c>
      <c r="U636" s="331" t="s">
        <v>1863</v>
      </c>
    </row>
    <row r="637" spans="1:21" ht="16.350000000000001" hidden="1" customHeight="1">
      <c r="A637" s="29" t="str">
        <f t="shared" si="12"/>
        <v>lt002_instrumentNW_BSNSS</v>
      </c>
      <c r="B637" s="141" t="s">
        <v>26</v>
      </c>
      <c r="C637" s="137" t="s">
        <v>26</v>
      </c>
      <c r="D637" s="377" t="s">
        <v>40</v>
      </c>
      <c r="E637" s="390" t="s">
        <v>379</v>
      </c>
      <c r="F637" s="384" t="s">
        <v>1341</v>
      </c>
      <c r="G637" s="382" t="str">
        <f>VLOOKUP(A637,Plano_V3!$A$26:$G$759,7,0)</f>
        <v>7. Por iniciar</v>
      </c>
      <c r="H637" s="135" t="s">
        <v>28</v>
      </c>
      <c r="I637" s="391" t="s">
        <v>2320</v>
      </c>
      <c r="J637" s="388" t="s">
        <v>2375</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2405</v>
      </c>
      <c r="S637" s="403" t="s">
        <v>2382</v>
      </c>
      <c r="T637" s="403" t="s">
        <v>2342</v>
      </c>
      <c r="U637" s="331" t="s">
        <v>2327</v>
      </c>
    </row>
    <row r="638" spans="1:21" ht="16.350000000000001" hidden="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t="s">
        <v>28</v>
      </c>
      <c r="I638" s="391" t="s">
        <v>2320</v>
      </c>
      <c r="J638" s="388" t="s">
        <v>2375</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2405</v>
      </c>
      <c r="S638" s="403" t="s">
        <v>2382</v>
      </c>
      <c r="T638" s="403" t="s">
        <v>2342</v>
      </c>
      <c r="U638" s="331" t="s">
        <v>2327</v>
      </c>
    </row>
    <row r="639" spans="1:21" ht="16.350000000000001" hidden="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t="s">
        <v>28</v>
      </c>
      <c r="I639" s="392" t="s">
        <v>2321</v>
      </c>
      <c r="J639" s="388" t="s">
        <v>2375</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2415</v>
      </c>
      <c r="S639" s="403" t="s">
        <v>2381</v>
      </c>
      <c r="T639" s="403" t="s">
        <v>2342</v>
      </c>
      <c r="U639" s="331" t="s">
        <v>1863</v>
      </c>
    </row>
    <row r="640" spans="1:21" ht="16.350000000000001" hidden="1" customHeight="1">
      <c r="A640" s="29" t="str">
        <f t="shared" si="12"/>
        <v>lt002_instrumentFLG_MNMM_SFGRDS</v>
      </c>
      <c r="B640" s="141" t="s">
        <v>26</v>
      </c>
      <c r="C640" s="137" t="s">
        <v>26</v>
      </c>
      <c r="D640" s="377" t="s">
        <v>40</v>
      </c>
      <c r="E640" s="390" t="s">
        <v>379</v>
      </c>
      <c r="F640" s="384" t="s">
        <v>2191</v>
      </c>
      <c r="G640" s="382" t="str">
        <f>VLOOKUP(A640,Plano_V3!$A$26:$G$759,7,0)</f>
        <v xml:space="preserve">6. Em implementação </v>
      </c>
      <c r="H640" s="135" t="s">
        <v>28</v>
      </c>
      <c r="I640" s="391" t="s">
        <v>2322</v>
      </c>
      <c r="J640" s="388" t="s">
        <v>2375</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2416</v>
      </c>
      <c r="S640" s="403" t="s">
        <v>2382</v>
      </c>
      <c r="T640" s="403" t="s">
        <v>2342</v>
      </c>
      <c r="U640" s="331" t="s">
        <v>1863</v>
      </c>
    </row>
    <row r="641" spans="1:21" ht="16.350000000000001" hidden="1" customHeight="1">
      <c r="A641" s="29" t="str">
        <f t="shared" si="11"/>
        <v>lt003_entitycntry</v>
      </c>
      <c r="B641" s="141" t="s">
        <v>26</v>
      </c>
      <c r="C641" s="137" t="s">
        <v>26</v>
      </c>
      <c r="D641" s="133" t="s">
        <v>40</v>
      </c>
      <c r="E641" s="136" t="s">
        <v>335</v>
      </c>
      <c r="F641" s="136"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3" t="s">
        <v>2341</v>
      </c>
      <c r="U641" s="331"/>
    </row>
    <row r="642" spans="1:21" ht="16.350000000000001" hidden="1" customHeight="1">
      <c r="A642" s="29" t="str">
        <f t="shared" si="11"/>
        <v>lt003_entitydt_rfrnc</v>
      </c>
      <c r="B642" s="141" t="s">
        <v>26</v>
      </c>
      <c r="C642" s="137" t="s">
        <v>26</v>
      </c>
      <c r="D642" s="133" t="s">
        <v>40</v>
      </c>
      <c r="E642" s="136" t="s">
        <v>335</v>
      </c>
      <c r="F642" s="136"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3" t="s">
        <v>2341</v>
      </c>
      <c r="U642" s="331"/>
    </row>
    <row r="643" spans="1:21" ht="16.350000000000001" hidden="1" customHeight="1">
      <c r="A643" s="29" t="str">
        <f t="shared" si="11"/>
        <v>lt003_entityentty_id</v>
      </c>
      <c r="B643" s="141" t="s">
        <v>26</v>
      </c>
      <c r="C643" s="137" t="s">
        <v>26</v>
      </c>
      <c r="D643" s="133" t="s">
        <v>40</v>
      </c>
      <c r="E643" s="136" t="s">
        <v>335</v>
      </c>
      <c r="F643" s="136"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3" t="s">
        <v>2341</v>
      </c>
      <c r="U643" s="331"/>
    </row>
    <row r="644" spans="1:21" ht="16.350000000000001" hidden="1" customHeight="1">
      <c r="A644" s="29" t="str">
        <f t="shared" si="11"/>
        <v>lt003_entitylei</v>
      </c>
      <c r="B644" s="141" t="s">
        <v>26</v>
      </c>
      <c r="C644" s="137" t="s">
        <v>26</v>
      </c>
      <c r="D644" s="133" t="s">
        <v>40</v>
      </c>
      <c r="E644" s="136" t="s">
        <v>335</v>
      </c>
      <c r="F644" s="136"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3" t="s">
        <v>2341</v>
      </c>
      <c r="U644" s="331"/>
    </row>
    <row r="645" spans="1:21" ht="16.350000000000001" hidden="1" customHeight="1">
      <c r="A645" s="29" t="str">
        <f t="shared" si="11"/>
        <v>lt003_entityecnmc_actvty</v>
      </c>
      <c r="B645" s="141" t="s">
        <v>26</v>
      </c>
      <c r="C645" s="137" t="s">
        <v>26</v>
      </c>
      <c r="D645" s="133" t="s">
        <v>40</v>
      </c>
      <c r="E645" s="136" t="s">
        <v>335</v>
      </c>
      <c r="F645" s="136"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3" t="s">
        <v>2341</v>
      </c>
      <c r="U645" s="331"/>
    </row>
    <row r="646" spans="1:21" ht="16.350000000000001" hidden="1" customHeight="1">
      <c r="A646" s="29" t="str">
        <f t="shared" si="11"/>
        <v>lt003_entitygrp_eqty</v>
      </c>
      <c r="B646" s="141" t="s">
        <v>26</v>
      </c>
      <c r="C646" s="137" t="s">
        <v>26</v>
      </c>
      <c r="D646" s="133" t="s">
        <v>40</v>
      </c>
      <c r="E646" s="136" t="s">
        <v>335</v>
      </c>
      <c r="F646" s="136"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3" t="s">
        <v>2341</v>
      </c>
      <c r="U646" s="331"/>
    </row>
    <row r="647" spans="1:21" ht="16.2" hidden="1">
      <c r="A647" s="29" t="str">
        <f t="shared" si="11"/>
        <v>lt003_entityannl_trnvr_le</v>
      </c>
      <c r="B647" s="141" t="s">
        <v>26</v>
      </c>
      <c r="C647" s="137" t="s">
        <v>26</v>
      </c>
      <c r="D647" s="133" t="s">
        <v>40</v>
      </c>
      <c r="E647" s="136" t="s">
        <v>335</v>
      </c>
      <c r="F647" s="136"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3" t="s">
        <v>2341</v>
      </c>
      <c r="U647" s="331"/>
    </row>
    <row r="648" spans="1:21" ht="16.2" hidden="1">
      <c r="A648" s="29" t="str">
        <f t="shared" si="11"/>
        <v>lt003_entityeqty</v>
      </c>
      <c r="B648" s="141" t="s">
        <v>26</v>
      </c>
      <c r="C648" s="137" t="s">
        <v>26</v>
      </c>
      <c r="D648" s="133" t="s">
        <v>40</v>
      </c>
      <c r="E648" s="136" t="s">
        <v>335</v>
      </c>
      <c r="F648" s="136"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3" t="s">
        <v>2341</v>
      </c>
      <c r="U648" s="331"/>
    </row>
    <row r="649" spans="1:21" ht="16.350000000000001" hidden="1" customHeight="1">
      <c r="A649" s="29" t="str">
        <f t="shared" si="11"/>
        <v>lt003_entitygrp_ttl_dbt</v>
      </c>
      <c r="B649" s="141" t="s">
        <v>26</v>
      </c>
      <c r="C649" s="137" t="s">
        <v>26</v>
      </c>
      <c r="D649" s="133" t="s">
        <v>40</v>
      </c>
      <c r="E649" s="136" t="s">
        <v>335</v>
      </c>
      <c r="F649" s="136"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3" t="s">
        <v>2341</v>
      </c>
      <c r="U649" s="331"/>
    </row>
    <row r="650" spans="1:21" ht="16.350000000000001" hidden="1" customHeight="1">
      <c r="A650" s="29" t="str">
        <f t="shared" si="11"/>
        <v>lt003_entityttl_dbt</v>
      </c>
      <c r="B650" s="141" t="s">
        <v>26</v>
      </c>
      <c r="C650" s="137" t="s">
        <v>26</v>
      </c>
      <c r="D650" s="133" t="s">
        <v>40</v>
      </c>
      <c r="E650" s="136" t="s">
        <v>335</v>
      </c>
      <c r="F650" s="136"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3" t="s">
        <v>2341</v>
      </c>
      <c r="U650" s="331"/>
    </row>
    <row r="651" spans="1:21" ht="16.350000000000001" hidden="1" customHeight="1">
      <c r="A651" s="29" t="str">
        <f t="shared" si="11"/>
        <v>lt003_entitycod_soc</v>
      </c>
      <c r="B651" s="141" t="s">
        <v>26</v>
      </c>
      <c r="C651" s="137" t="s">
        <v>26</v>
      </c>
      <c r="D651" s="133" t="s">
        <v>40</v>
      </c>
      <c r="E651" s="136" t="s">
        <v>335</v>
      </c>
      <c r="F651" s="136"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3" t="s">
        <v>2341</v>
      </c>
      <c r="U651" s="331"/>
    </row>
    <row r="652" spans="1:21" ht="16.350000000000001" hidden="1" customHeight="1">
      <c r="A652" s="29" t="str">
        <f t="shared" si="11"/>
        <v>lt003_entityentty_nm</v>
      </c>
      <c r="B652" s="141" t="s">
        <v>26</v>
      </c>
      <c r="C652" s="137" t="s">
        <v>26</v>
      </c>
      <c r="D652" s="133" t="s">
        <v>40</v>
      </c>
      <c r="E652" s="136" t="s">
        <v>335</v>
      </c>
      <c r="F652" s="384" t="s">
        <v>2209</v>
      </c>
      <c r="G652" s="135" t="str">
        <f>VLOOKUP(A652,Plano_V3!$A$26:$G$759,7,0)</f>
        <v xml:space="preserve">6. Em implementação </v>
      </c>
      <c r="H652" s="135" t="s">
        <v>28</v>
      </c>
      <c r="I652" s="388" t="s">
        <v>2257</v>
      </c>
      <c r="J652" s="388" t="s">
        <v>2375</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2409</v>
      </c>
      <c r="S652" s="403" t="s">
        <v>2381</v>
      </c>
      <c r="T652" s="403" t="s">
        <v>2342</v>
      </c>
      <c r="U652" s="331" t="s">
        <v>1863</v>
      </c>
    </row>
    <row r="653" spans="1:21" ht="16.350000000000001" hidden="1" customHeight="1">
      <c r="A653" s="29" t="str">
        <f t="shared" si="11"/>
        <v>lt003_entityec_grp_id</v>
      </c>
      <c r="B653" s="141" t="s">
        <v>26</v>
      </c>
      <c r="C653" s="137" t="s">
        <v>26</v>
      </c>
      <c r="D653" s="133" t="s">
        <v>40</v>
      </c>
      <c r="E653" s="136" t="s">
        <v>335</v>
      </c>
      <c r="F653" s="384" t="s">
        <v>2210</v>
      </c>
      <c r="G653" s="135" t="str">
        <f>VLOOKUP(A653,Plano_V3!$A$26:$G$759,7,0)</f>
        <v>7. Por iniciar</v>
      </c>
      <c r="H653" s="135" t="s">
        <v>28</v>
      </c>
      <c r="I653" s="388" t="s">
        <v>2258</v>
      </c>
      <c r="J653" s="388" t="s">
        <v>2375</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2409</v>
      </c>
      <c r="S653" s="403" t="s">
        <v>2381</v>
      </c>
      <c r="T653" s="403" t="s">
        <v>2342</v>
      </c>
      <c r="U653" s="331" t="s">
        <v>1863</v>
      </c>
    </row>
    <row r="654" spans="1:21" ht="16.350000000000001" hidden="1" customHeight="1">
      <c r="A654" s="29" t="str">
        <f t="shared" si="11"/>
        <v>lt003_entityec_grp_nm</v>
      </c>
      <c r="B654" s="141" t="s">
        <v>26</v>
      </c>
      <c r="C654" s="137" t="s">
        <v>26</v>
      </c>
      <c r="D654" s="133" t="s">
        <v>40</v>
      </c>
      <c r="E654" s="136" t="s">
        <v>335</v>
      </c>
      <c r="F654" s="384" t="s">
        <v>2211</v>
      </c>
      <c r="G654" s="135" t="str">
        <f>VLOOKUP(A654,Plano_V3!$A$26:$G$759,7,0)</f>
        <v>7. Por iniciar</v>
      </c>
      <c r="H654" s="135" t="s">
        <v>28</v>
      </c>
      <c r="I654" s="388" t="s">
        <v>2259</v>
      </c>
      <c r="J654" s="388" t="s">
        <v>2375</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2409</v>
      </c>
      <c r="S654" s="403" t="s">
        <v>2381</v>
      </c>
      <c r="T654" s="403" t="s">
        <v>2342</v>
      </c>
      <c r="U654" s="331" t="s">
        <v>1863</v>
      </c>
    </row>
    <row r="655" spans="1:21" ht="16.350000000000001" hidden="1" customHeight="1">
      <c r="A655" s="29" t="str">
        <f t="shared" si="11"/>
        <v>lt003_entitygrp_ecnmc_actvty</v>
      </c>
      <c r="B655" s="141" t="s">
        <v>26</v>
      </c>
      <c r="C655" s="137" t="s">
        <v>26</v>
      </c>
      <c r="D655" s="133" t="s">
        <v>40</v>
      </c>
      <c r="E655" s="136" t="s">
        <v>335</v>
      </c>
      <c r="F655" s="384" t="s">
        <v>2212</v>
      </c>
      <c r="G655" s="135" t="str">
        <f>VLOOKUP(A655,Plano_V3!$A$26:$G$759,7,0)</f>
        <v>7. Por iniciar</v>
      </c>
      <c r="H655" s="135" t="s">
        <v>28</v>
      </c>
      <c r="I655" s="388" t="s">
        <v>2258</v>
      </c>
      <c r="J655" s="388" t="s">
        <v>2375</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2417</v>
      </c>
      <c r="S655" s="403" t="s">
        <v>2382</v>
      </c>
      <c r="T655" s="403" t="s">
        <v>2342</v>
      </c>
      <c r="U655" s="331" t="s">
        <v>1863</v>
      </c>
    </row>
    <row r="656" spans="1:21" ht="16.35000000000000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t="s">
        <v>2340</v>
      </c>
      <c r="I656" s="388" t="s">
        <v>2260</v>
      </c>
      <c r="J656" s="388" t="s">
        <v>2426</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2406</v>
      </c>
      <c r="S656" s="403" t="s">
        <v>2382</v>
      </c>
      <c r="T656" s="403" t="s">
        <v>2342</v>
      </c>
      <c r="U656" s="331" t="s">
        <v>1863</v>
      </c>
    </row>
    <row r="657" spans="1:21" ht="16.35000000000000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t="s">
        <v>2340</v>
      </c>
      <c r="I657" s="388" t="s">
        <v>2260</v>
      </c>
      <c r="J657" s="388" t="s">
        <v>2426</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2406</v>
      </c>
      <c r="S657" s="403" t="s">
        <v>2382</v>
      </c>
      <c r="T657" s="403" t="s">
        <v>2342</v>
      </c>
      <c r="U657" s="331" t="s">
        <v>1863</v>
      </c>
    </row>
    <row r="658" spans="1:21" ht="16.35000000000000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t="s">
        <v>2340</v>
      </c>
      <c r="I658" s="388" t="s">
        <v>2260</v>
      </c>
      <c r="J658" s="388" t="s">
        <v>2426</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2406</v>
      </c>
      <c r="S658" s="403" t="s">
        <v>2382</v>
      </c>
      <c r="T658" s="403" t="s">
        <v>2342</v>
      </c>
      <c r="U658" s="331" t="s">
        <v>1863</v>
      </c>
    </row>
    <row r="659" spans="1:21" ht="16.35000000000000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t="s">
        <v>2340</v>
      </c>
      <c r="I659" s="388" t="s">
        <v>2260</v>
      </c>
      <c r="J659" s="388" t="s">
        <v>2426</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2406</v>
      </c>
      <c r="S659" s="403" t="s">
        <v>2382</v>
      </c>
      <c r="T659" s="403" t="s">
        <v>2342</v>
      </c>
      <c r="U659" s="331" t="s">
        <v>1863</v>
      </c>
    </row>
    <row r="660" spans="1:21" ht="16.35000000000000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t="s">
        <v>2340</v>
      </c>
      <c r="I660" s="388" t="s">
        <v>2260</v>
      </c>
      <c r="J660" s="388" t="s">
        <v>2426</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2406</v>
      </c>
      <c r="S660" s="403" t="s">
        <v>2382</v>
      </c>
      <c r="T660" s="403" t="s">
        <v>2342</v>
      </c>
      <c r="U660" s="331" t="s">
        <v>1863</v>
      </c>
    </row>
    <row r="661" spans="1:21" ht="16.35000000000000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t="s">
        <v>2340</v>
      </c>
      <c r="I661" s="388" t="s">
        <v>2260</v>
      </c>
      <c r="J661" s="388" t="s">
        <v>2426</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2406</v>
      </c>
      <c r="S661" s="403" t="s">
        <v>2382</v>
      </c>
      <c r="T661" s="403" t="s">
        <v>2342</v>
      </c>
      <c r="U661" s="331" t="s">
        <v>1863</v>
      </c>
    </row>
    <row r="662" spans="1:21" ht="16.35000000000000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t="s">
        <v>2340</v>
      </c>
      <c r="I662" s="388" t="s">
        <v>2260</v>
      </c>
      <c r="J662" s="388" t="s">
        <v>2426</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2406</v>
      </c>
      <c r="S662" s="403" t="s">
        <v>2382</v>
      </c>
      <c r="T662" s="403" t="s">
        <v>2342</v>
      </c>
      <c r="U662" s="331" t="s">
        <v>1863</v>
      </c>
    </row>
    <row r="663" spans="1:21" ht="16.35000000000000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t="s">
        <v>2340</v>
      </c>
      <c r="I663" s="388" t="s">
        <v>2260</v>
      </c>
      <c r="J663" s="388" t="s">
        <v>2426</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2406</v>
      </c>
      <c r="S663" s="403" t="s">
        <v>2382</v>
      </c>
      <c r="T663" s="403" t="s">
        <v>2342</v>
      </c>
      <c r="U663" s="331" t="s">
        <v>1863</v>
      </c>
    </row>
    <row r="664" spans="1:21" ht="16.35000000000000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t="s">
        <v>2340</v>
      </c>
      <c r="I664" s="388" t="s">
        <v>2260</v>
      </c>
      <c r="J664" s="388" t="s">
        <v>2426</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2406</v>
      </c>
      <c r="S664" s="403" t="s">
        <v>2382</v>
      </c>
      <c r="T664" s="403" t="s">
        <v>2342</v>
      </c>
      <c r="U664" s="331" t="s">
        <v>1863</v>
      </c>
    </row>
    <row r="665" spans="1:21" ht="16.35000000000000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t="s">
        <v>2340</v>
      </c>
      <c r="I665" s="388" t="s">
        <v>2260</v>
      </c>
      <c r="J665" s="388" t="s">
        <v>2426</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2406</v>
      </c>
      <c r="S665" s="403" t="s">
        <v>2382</v>
      </c>
      <c r="T665" s="403" t="s">
        <v>2342</v>
      </c>
      <c r="U665" s="331" t="s">
        <v>1863</v>
      </c>
    </row>
    <row r="666" spans="1:21" ht="16.35000000000000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t="s">
        <v>2340</v>
      </c>
      <c r="I666" s="388" t="s">
        <v>2260</v>
      </c>
      <c r="J666" s="388" t="s">
        <v>2426</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2406</v>
      </c>
      <c r="S666" s="403" t="s">
        <v>2382</v>
      </c>
      <c r="T666" s="403" t="s">
        <v>2342</v>
      </c>
      <c r="U666" s="331" t="s">
        <v>1863</v>
      </c>
    </row>
    <row r="667" spans="1:21" ht="16.35000000000000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t="s">
        <v>2340</v>
      </c>
      <c r="I667" s="388" t="s">
        <v>2260</v>
      </c>
      <c r="J667" s="388" t="s">
        <v>2426</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2406</v>
      </c>
      <c r="S667" s="403" t="s">
        <v>2382</v>
      </c>
      <c r="T667" s="403" t="s">
        <v>2342</v>
      </c>
      <c r="U667" s="331" t="s">
        <v>1863</v>
      </c>
    </row>
    <row r="668" spans="1:21" ht="16.35000000000000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t="s">
        <v>2340</v>
      </c>
      <c r="I668" s="388" t="s">
        <v>2260</v>
      </c>
      <c r="J668" s="388" t="s">
        <v>2426</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2406</v>
      </c>
      <c r="S668" s="403" t="s">
        <v>2382</v>
      </c>
      <c r="T668" s="403" t="s">
        <v>2342</v>
      </c>
      <c r="U668" s="331" t="s">
        <v>1863</v>
      </c>
    </row>
    <row r="669" spans="1:21" ht="16.35000000000000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t="s">
        <v>2340</v>
      </c>
      <c r="I669" s="388" t="s">
        <v>2260</v>
      </c>
      <c r="J669" s="388" t="s">
        <v>2426</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2406</v>
      </c>
      <c r="S669" s="403" t="s">
        <v>2382</v>
      </c>
      <c r="T669" s="403" t="s">
        <v>2342</v>
      </c>
      <c r="U669" s="331" t="s">
        <v>1863</v>
      </c>
    </row>
    <row r="670" spans="1:21" ht="16.35000000000000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t="s">
        <v>2340</v>
      </c>
      <c r="I670" s="388" t="s">
        <v>2260</v>
      </c>
      <c r="J670" s="388" t="s">
        <v>2426</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2406</v>
      </c>
      <c r="S670" s="403" t="s">
        <v>2382</v>
      </c>
      <c r="T670" s="403" t="s">
        <v>2342</v>
      </c>
      <c r="U670" s="331" t="s">
        <v>1863</v>
      </c>
    </row>
    <row r="671" spans="1:21" ht="16.35000000000000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t="s">
        <v>2340</v>
      </c>
      <c r="I671" s="388" t="s">
        <v>2260</v>
      </c>
      <c r="J671" s="388" t="s">
        <v>2426</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2406</v>
      </c>
      <c r="S671" s="403" t="s">
        <v>2382</v>
      </c>
      <c r="T671" s="403" t="s">
        <v>2342</v>
      </c>
      <c r="U671" s="331" t="s">
        <v>1863</v>
      </c>
    </row>
    <row r="672" spans="1:21" ht="16.35000000000000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t="s">
        <v>2340</v>
      </c>
      <c r="I672" s="388" t="s">
        <v>2260</v>
      </c>
      <c r="J672" s="388" t="s">
        <v>2426</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2406</v>
      </c>
      <c r="S672" s="403" t="s">
        <v>2382</v>
      </c>
      <c r="T672" s="403" t="s">
        <v>2342</v>
      </c>
      <c r="U672" s="331" t="s">
        <v>1863</v>
      </c>
    </row>
    <row r="673" spans="1:21" ht="16.35000000000000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t="s">
        <v>2340</v>
      </c>
      <c r="I673" s="388" t="s">
        <v>2260</v>
      </c>
      <c r="J673" s="388" t="s">
        <v>2426</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2406</v>
      </c>
      <c r="S673" s="403" t="s">
        <v>2382</v>
      </c>
      <c r="T673" s="403" t="s">
        <v>2342</v>
      </c>
      <c r="U673" s="331" t="s">
        <v>1863</v>
      </c>
    </row>
    <row r="674" spans="1:21" ht="16.35000000000000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t="s">
        <v>2340</v>
      </c>
      <c r="I674" s="388" t="s">
        <v>2260</v>
      </c>
      <c r="J674" s="388" t="s">
        <v>2426</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2406</v>
      </c>
      <c r="S674" s="403" t="s">
        <v>2382</v>
      </c>
      <c r="T674" s="403" t="s">
        <v>2342</v>
      </c>
      <c r="U674" s="331" t="s">
        <v>1863</v>
      </c>
    </row>
    <row r="675" spans="1:21" ht="16.35000000000000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t="s">
        <v>2340</v>
      </c>
      <c r="I675" s="388" t="s">
        <v>2260</v>
      </c>
      <c r="J675" s="388" t="s">
        <v>2426</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2406</v>
      </c>
      <c r="S675" s="403" t="s">
        <v>2382</v>
      </c>
      <c r="T675" s="403" t="s">
        <v>2342</v>
      </c>
      <c r="U675" s="331" t="s">
        <v>1863</v>
      </c>
    </row>
    <row r="676" spans="1:21" ht="16.350000000000001" hidden="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3" t="s">
        <v>2341</v>
      </c>
      <c r="U676" s="331"/>
    </row>
    <row r="677" spans="1:21" ht="16.350000000000001" hidden="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3" t="s">
        <v>2341</v>
      </c>
      <c r="U677" s="331"/>
    </row>
    <row r="678" spans="1:21" ht="16.350000000000001" hidden="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3" t="s">
        <v>2341</v>
      </c>
      <c r="U678" s="331"/>
    </row>
    <row r="679" spans="1:21" ht="16.350000000000001" hidden="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3" t="s">
        <v>2341</v>
      </c>
      <c r="U679" s="331"/>
    </row>
    <row r="680" spans="1:21" ht="16.350000000000001" hidden="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3" t="s">
        <v>2341</v>
      </c>
      <c r="U680" s="331"/>
    </row>
    <row r="681" spans="1:21" ht="16.350000000000001" hidden="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3" t="s">
        <v>2341</v>
      </c>
      <c r="U681" s="331"/>
    </row>
    <row r="682" spans="1:21" ht="16.350000000000001" hidden="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3" t="s">
        <v>2341</v>
      </c>
      <c r="U682" s="331"/>
    </row>
    <row r="683" spans="1:21" ht="16.350000000000001" hidden="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3" t="s">
        <v>2341</v>
      </c>
      <c r="U683" s="331"/>
    </row>
    <row r="684" spans="1:21" ht="16.350000000000001" hidden="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3" t="s">
        <v>2341</v>
      </c>
      <c r="U684" s="331"/>
    </row>
    <row r="685" spans="1:21" ht="16.350000000000001" hidden="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3" t="s">
        <v>2341</v>
      </c>
      <c r="U685" s="331"/>
    </row>
    <row r="686" spans="1:21" ht="16.350000000000001" hidden="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3" t="s">
        <v>2341</v>
      </c>
      <c r="U686" s="331"/>
    </row>
    <row r="687" spans="1:21" ht="16.350000000000001" hidden="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3" t="s">
        <v>2341</v>
      </c>
      <c r="U687" s="331"/>
    </row>
    <row r="688" spans="1:21" ht="16.350000000000001" hidden="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3" t="s">
        <v>2341</v>
      </c>
      <c r="U688" s="331"/>
    </row>
    <row r="689" spans="1:21" ht="16.350000000000001" hidden="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3" t="s">
        <v>2341</v>
      </c>
      <c r="U689" s="331"/>
    </row>
    <row r="690" spans="1:21" ht="16.350000000000001" hidden="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3" t="s">
        <v>2341</v>
      </c>
      <c r="U690" s="331"/>
    </row>
    <row r="691" spans="1:21" ht="16.350000000000001" hidden="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3" t="s">
        <v>2341</v>
      </c>
      <c r="U691" s="331"/>
    </row>
    <row r="692" spans="1:21" ht="16.350000000000001" hidden="1" customHeight="1">
      <c r="A692" s="29" t="str">
        <f t="shared" si="11"/>
        <v>lt006_instr_protprtctn_allctd_vl</v>
      </c>
      <c r="B692" s="141" t="s">
        <v>26</v>
      </c>
      <c r="C692" s="137" t="s">
        <v>26</v>
      </c>
      <c r="D692" s="133" t="s">
        <v>40</v>
      </c>
      <c r="E692" s="136" t="s">
        <v>441</v>
      </c>
      <c r="F692" s="384" t="s">
        <v>442</v>
      </c>
      <c r="G692" s="135" t="str">
        <f>VLOOKUP(A692,Plano_V3!$A$26:$G$759,7,0)</f>
        <v xml:space="preserve">6. Em implementação </v>
      </c>
      <c r="H692" s="135" t="s">
        <v>28</v>
      </c>
      <c r="I692" s="388" t="s">
        <v>2325</v>
      </c>
      <c r="J692" s="388" t="s">
        <v>2375</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3" t="s">
        <v>2341</v>
      </c>
      <c r="U692" s="331" t="s">
        <v>2330</v>
      </c>
    </row>
    <row r="693" spans="1:21" ht="16.350000000000001" hidden="1" customHeight="1">
      <c r="A693" s="29" t="str">
        <f>E693&amp;F693</f>
        <v>lt006_instr_protTYP_RLTN</v>
      </c>
      <c r="B693" s="141" t="s">
        <v>26</v>
      </c>
      <c r="C693" s="137" t="s">
        <v>26</v>
      </c>
      <c r="D693" s="133" t="s">
        <v>40</v>
      </c>
      <c r="E693" s="136" t="s">
        <v>441</v>
      </c>
      <c r="F693" s="384" t="s">
        <v>2307</v>
      </c>
      <c r="G693" s="135" t="str">
        <f>VLOOKUP(A693,Plano_V3!$A$26:$G$759,7,0)</f>
        <v>7. Por iniciar</v>
      </c>
      <c r="H693" s="135" t="s">
        <v>28</v>
      </c>
      <c r="I693" s="388" t="s">
        <v>2258</v>
      </c>
      <c r="J693" s="388" t="s">
        <v>2375</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2418</v>
      </c>
      <c r="S693" s="403" t="s">
        <v>2382</v>
      </c>
      <c r="T693" s="403" t="s">
        <v>2342</v>
      </c>
      <c r="U693" s="331" t="s">
        <v>1863</v>
      </c>
    </row>
    <row r="694" spans="1:21" ht="16.350000000000001" hidden="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3" t="s">
        <v>2341</v>
      </c>
      <c r="U694" s="331" t="s">
        <v>1863</v>
      </c>
    </row>
    <row r="695" spans="1:21" ht="16.350000000000001" hidden="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3" t="s">
        <v>2341</v>
      </c>
      <c r="U695" s="331" t="s">
        <v>1863</v>
      </c>
    </row>
    <row r="696" spans="1:21" ht="16.350000000000001" hidden="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3" t="s">
        <v>2341</v>
      </c>
      <c r="U696" s="331" t="s">
        <v>1863</v>
      </c>
    </row>
    <row r="697" spans="1:21" ht="16.350000000000001" hidden="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t="s">
        <v>28</v>
      </c>
      <c r="I697" s="388" t="s">
        <v>2258</v>
      </c>
      <c r="J697" s="388" t="s">
        <v>2375</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2414</v>
      </c>
      <c r="S697" s="403" t="s">
        <v>2381</v>
      </c>
      <c r="T697" s="403" t="s">
        <v>2342</v>
      </c>
      <c r="U697" s="331" t="s">
        <v>1863</v>
      </c>
    </row>
    <row r="698" spans="1:21" ht="16.350000000000001" hidden="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t="s">
        <v>28</v>
      </c>
      <c r="I698" s="388" t="s">
        <v>2258</v>
      </c>
      <c r="J698" s="388" t="s">
        <v>2375</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2414</v>
      </c>
      <c r="S698" s="403" t="s">
        <v>2381</v>
      </c>
      <c r="T698" s="403" t="s">
        <v>2342</v>
      </c>
      <c r="U698" s="331" t="s">
        <v>1863</v>
      </c>
    </row>
    <row r="699" spans="1:21" ht="16.350000000000001" hidden="1" customHeight="1">
      <c r="A699" s="29" t="str">
        <f t="shared" si="11"/>
        <v>lt004_protectionRL_ESTT_CTY</v>
      </c>
      <c r="B699" s="141" t="s">
        <v>26</v>
      </c>
      <c r="C699" s="137" t="s">
        <v>26</v>
      </c>
      <c r="D699" s="133" t="s">
        <v>40</v>
      </c>
      <c r="E699" s="136" t="s">
        <v>368</v>
      </c>
      <c r="F699" s="384" t="s">
        <v>2263</v>
      </c>
      <c r="G699" s="135" t="str">
        <f>VLOOKUP(A699,Plano_V3!$A$26:$G$759,7,0)</f>
        <v xml:space="preserve">6. Em implementação </v>
      </c>
      <c r="H699" s="135" t="s">
        <v>28</v>
      </c>
      <c r="I699" s="388" t="s">
        <v>2257</v>
      </c>
      <c r="J699" s="388" t="s">
        <v>2375</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2414</v>
      </c>
      <c r="S699" s="403" t="s">
        <v>2381</v>
      </c>
      <c r="T699" s="403" t="s">
        <v>2342</v>
      </c>
      <c r="U699" s="331" t="s">
        <v>1863</v>
      </c>
    </row>
    <row r="700" spans="1:21" ht="16.350000000000001" hidden="1" customHeight="1">
      <c r="A700" s="29" t="str">
        <f t="shared" si="11"/>
        <v>lt004_protectionTYP_EMSSNS_LBL</v>
      </c>
      <c r="B700" s="141" t="s">
        <v>26</v>
      </c>
      <c r="C700" s="137" t="s">
        <v>26</v>
      </c>
      <c r="D700" s="133" t="s">
        <v>40</v>
      </c>
      <c r="E700" s="136" t="s">
        <v>368</v>
      </c>
      <c r="F700" s="384" t="s">
        <v>2264</v>
      </c>
      <c r="G700" s="135" t="str">
        <f>VLOOKUP(A700,Plano_V3!$A$26:$G$759,7,0)</f>
        <v xml:space="preserve">6. Em implementação </v>
      </c>
      <c r="H700" s="135" t="s">
        <v>28</v>
      </c>
      <c r="I700" s="388" t="s">
        <v>2325</v>
      </c>
      <c r="J700" s="388" t="s">
        <v>2375</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2419</v>
      </c>
      <c r="S700" s="403" t="s">
        <v>2382</v>
      </c>
      <c r="T700" s="403" t="s">
        <v>2342</v>
      </c>
      <c r="U700" s="331" t="s">
        <v>1863</v>
      </c>
    </row>
    <row r="701" spans="1:21" ht="16.350000000000001" hidden="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t="s">
        <v>28</v>
      </c>
      <c r="I701" s="388" t="s">
        <v>2258</v>
      </c>
      <c r="J701" s="388" t="s">
        <v>2375</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2419</v>
      </c>
      <c r="S701" s="403" t="s">
        <v>2382</v>
      </c>
      <c r="T701" s="403" t="s">
        <v>2342</v>
      </c>
      <c r="U701" s="331" t="s">
        <v>1863</v>
      </c>
    </row>
    <row r="702" spans="1:21" ht="16.350000000000001" hidden="1" customHeight="1">
      <c r="A702" s="29" t="str">
        <f t="shared" si="11"/>
        <v>lt004_protectionVHCL_EMSSNS_LBL</v>
      </c>
      <c r="B702" s="141" t="s">
        <v>26</v>
      </c>
      <c r="C702" s="137" t="s">
        <v>26</v>
      </c>
      <c r="D702" s="133" t="s">
        <v>40</v>
      </c>
      <c r="E702" s="136" t="s">
        <v>368</v>
      </c>
      <c r="F702" s="384" t="s">
        <v>2266</v>
      </c>
      <c r="G702" s="135" t="str">
        <f>VLOOKUP(A702,Plano_V3!$A$26:$G$759,7,0)</f>
        <v xml:space="preserve">6. Em implementação </v>
      </c>
      <c r="H702" s="135" t="s">
        <v>28</v>
      </c>
      <c r="I702" s="388" t="s">
        <v>2325</v>
      </c>
      <c r="J702" s="388" t="s">
        <v>2375</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2419</v>
      </c>
      <c r="S702" s="403" t="s">
        <v>2382</v>
      </c>
      <c r="T702" s="403" t="s">
        <v>2342</v>
      </c>
      <c r="U702" s="331" t="s">
        <v>1863</v>
      </c>
    </row>
    <row r="703" spans="1:21" ht="16.350000000000001" hidden="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t="s">
        <v>28</v>
      </c>
      <c r="I703" s="388" t="s">
        <v>2258</v>
      </c>
      <c r="J703" s="388" t="s">
        <v>2375</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2419</v>
      </c>
      <c r="S703" s="403" t="s">
        <v>2382</v>
      </c>
      <c r="T703" s="403" t="s">
        <v>2342</v>
      </c>
      <c r="U703" s="331" t="s">
        <v>1863</v>
      </c>
    </row>
    <row r="704" spans="1:21" ht="16.350000000000001" hidden="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t="s">
        <v>28</v>
      </c>
      <c r="I704" s="388" t="s">
        <v>2258</v>
      </c>
      <c r="J704" s="388" t="s">
        <v>2375</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2419</v>
      </c>
      <c r="S704" s="403" t="s">
        <v>2382</v>
      </c>
      <c r="T704" s="403" t="s">
        <v>2342</v>
      </c>
      <c r="U704" s="331" t="s">
        <v>1863</v>
      </c>
    </row>
    <row r="705" spans="1:21" ht="16.350000000000001" hidden="1" customHeight="1">
      <c r="A705" s="29" t="str">
        <f t="shared" si="11"/>
        <v>lt004_protectionVHCL_EMSSNS_SCR</v>
      </c>
      <c r="B705" s="141" t="s">
        <v>26</v>
      </c>
      <c r="C705" s="137" t="s">
        <v>26</v>
      </c>
      <c r="D705" s="133" t="s">
        <v>40</v>
      </c>
      <c r="E705" s="136" t="s">
        <v>368</v>
      </c>
      <c r="F705" s="384" t="s">
        <v>2269</v>
      </c>
      <c r="G705" s="135" t="str">
        <f>VLOOKUP(A705,Plano_V3!$A$26:$G$759,7,0)</f>
        <v xml:space="preserve">6. Em implementação </v>
      </c>
      <c r="H705" s="135" t="s">
        <v>28</v>
      </c>
      <c r="I705" s="388" t="s">
        <v>2325</v>
      </c>
      <c r="J705" s="388" t="s">
        <v>2375</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2419</v>
      </c>
      <c r="S705" s="403" t="s">
        <v>2382</v>
      </c>
      <c r="T705" s="403" t="s">
        <v>2342</v>
      </c>
      <c r="U705" s="331" t="s">
        <v>1863</v>
      </c>
    </row>
    <row r="706" spans="1:21" ht="16.350000000000001" hidden="1" customHeight="1">
      <c r="A706" s="29" t="str">
        <f t="shared" si="11"/>
        <v>lt004_protectionINSRNC_ID</v>
      </c>
      <c r="B706" s="141" t="s">
        <v>26</v>
      </c>
      <c r="C706" s="137" t="s">
        <v>26</v>
      </c>
      <c r="D706" s="133" t="s">
        <v>40</v>
      </c>
      <c r="E706" s="136" t="s">
        <v>368</v>
      </c>
      <c r="F706" s="384" t="s">
        <v>2270</v>
      </c>
      <c r="G706" s="135" t="str">
        <f>VLOOKUP(A706,Plano_V3!$A$26:$G$759,7,0)</f>
        <v xml:space="preserve">6. Em implementação </v>
      </c>
      <c r="H706" s="135" t="s">
        <v>28</v>
      </c>
      <c r="I706" s="388" t="s">
        <v>2325</v>
      </c>
      <c r="J706" s="388" t="s">
        <v>2375</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2419</v>
      </c>
      <c r="S706" s="403" t="s">
        <v>2382</v>
      </c>
      <c r="T706" s="403" t="s">
        <v>2342</v>
      </c>
      <c r="U706" s="331" t="s">
        <v>1863</v>
      </c>
    </row>
    <row r="707" spans="1:21" ht="16.350000000000001" hidden="1" customHeight="1">
      <c r="A707" s="29" t="str">
        <f t="shared" si="11"/>
        <v>lt004_protectionTYP_HZRDS_INSRD</v>
      </c>
      <c r="B707" s="141" t="s">
        <v>26</v>
      </c>
      <c r="C707" s="137" t="s">
        <v>26</v>
      </c>
      <c r="D707" s="133" t="s">
        <v>40</v>
      </c>
      <c r="E707" s="136" t="s">
        <v>368</v>
      </c>
      <c r="F707" s="384" t="s">
        <v>2271</v>
      </c>
      <c r="G707" s="135" t="str">
        <f>VLOOKUP(A707,Plano_V3!$A$26:$G$759,7,0)</f>
        <v xml:space="preserve">6. Em implementação </v>
      </c>
      <c r="H707" s="135" t="s">
        <v>28</v>
      </c>
      <c r="I707" s="388" t="s">
        <v>2325</v>
      </c>
      <c r="J707" s="388" t="s">
        <v>2375</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2419</v>
      </c>
      <c r="S707" s="403" t="s">
        <v>2382</v>
      </c>
      <c r="T707" s="403" t="s">
        <v>2342</v>
      </c>
      <c r="U707" s="331" t="s">
        <v>1863</v>
      </c>
    </row>
    <row r="708" spans="1:21" ht="16.350000000000001" hidden="1" customHeight="1">
      <c r="A708" s="29" t="str">
        <f t="shared" si="11"/>
        <v>lt004_protectionAMNT_CVRD_INSRNC</v>
      </c>
      <c r="B708" s="141" t="s">
        <v>26</v>
      </c>
      <c r="C708" s="137" t="s">
        <v>26</v>
      </c>
      <c r="D708" s="133" t="s">
        <v>40</v>
      </c>
      <c r="E708" s="136" t="s">
        <v>368</v>
      </c>
      <c r="F708" s="384" t="s">
        <v>2272</v>
      </c>
      <c r="G708" s="135" t="str">
        <f>VLOOKUP(A708,Plano_V3!$A$26:$G$759,7,0)</f>
        <v xml:space="preserve">6. Em implementação </v>
      </c>
      <c r="H708" s="135" t="s">
        <v>28</v>
      </c>
      <c r="I708" s="388" t="s">
        <v>2325</v>
      </c>
      <c r="J708" s="388" t="s">
        <v>2375</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2419</v>
      </c>
      <c r="S708" s="403" t="s">
        <v>2382</v>
      </c>
      <c r="T708" s="403" t="s">
        <v>2342</v>
      </c>
      <c r="U708" s="331" t="s">
        <v>1863</v>
      </c>
    </row>
    <row r="709" spans="1:21" ht="16.350000000000001" hidden="1" customHeight="1">
      <c r="A709" s="29" t="str">
        <f t="shared" si="11"/>
        <v>lt004_protectionDT_MTRTY_INSRNC</v>
      </c>
      <c r="B709" s="141" t="s">
        <v>26</v>
      </c>
      <c r="C709" s="137" t="s">
        <v>26</v>
      </c>
      <c r="D709" s="133" t="s">
        <v>40</v>
      </c>
      <c r="E709" s="136" t="s">
        <v>368</v>
      </c>
      <c r="F709" s="384" t="s">
        <v>2273</v>
      </c>
      <c r="G709" s="135" t="str">
        <f>VLOOKUP(A709,Plano_V3!$A$26:$G$759,7,0)</f>
        <v xml:space="preserve">6. Em implementação </v>
      </c>
      <c r="H709" s="135" t="s">
        <v>28</v>
      </c>
      <c r="I709" s="388" t="s">
        <v>2325</v>
      </c>
      <c r="J709" s="388" t="s">
        <v>2375</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2419</v>
      </c>
      <c r="S709" s="403" t="s">
        <v>2382</v>
      </c>
      <c r="T709" s="403" t="s">
        <v>2342</v>
      </c>
      <c r="U709" s="331" t="s">
        <v>1863</v>
      </c>
    </row>
    <row r="710" spans="1:21" ht="16.350000000000001" hidden="1" customHeight="1">
      <c r="A710" s="29" t="str">
        <f t="shared" si="11"/>
        <v>lt004_protectionFLG_FRST_HM</v>
      </c>
      <c r="B710" s="141" t="s">
        <v>26</v>
      </c>
      <c r="C710" s="137" t="s">
        <v>26</v>
      </c>
      <c r="D710" s="133" t="s">
        <v>40</v>
      </c>
      <c r="E710" s="136" t="s">
        <v>368</v>
      </c>
      <c r="F710" s="384" t="s">
        <v>2274</v>
      </c>
      <c r="G710" s="135" t="str">
        <f>VLOOKUP(A710,Plano_V3!$A$26:$G$759,7,0)</f>
        <v xml:space="preserve">6. Em implementação </v>
      </c>
      <c r="H710" s="135" t="s">
        <v>28</v>
      </c>
      <c r="I710" s="388" t="s">
        <v>2325</v>
      </c>
      <c r="J710" s="388" t="s">
        <v>2375</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2419</v>
      </c>
      <c r="S710" s="403" t="s">
        <v>2382</v>
      </c>
      <c r="T710" s="403" t="s">
        <v>2342</v>
      </c>
      <c r="U710" s="331" t="s">
        <v>1863</v>
      </c>
    </row>
    <row r="711" spans="1:21" ht="16.350000000000001" hidden="1" customHeight="1">
      <c r="A711" s="29" t="str">
        <f t="shared" si="11"/>
        <v>lt004_protectionYR_CNSTRCTN</v>
      </c>
      <c r="B711" s="141" t="s">
        <v>26</v>
      </c>
      <c r="C711" s="137" t="s">
        <v>26</v>
      </c>
      <c r="D711" s="133" t="s">
        <v>40</v>
      </c>
      <c r="E711" s="136" t="s">
        <v>368</v>
      </c>
      <c r="F711" s="384" t="s">
        <v>2275</v>
      </c>
      <c r="G711" s="135" t="str">
        <f>VLOOKUP(A711,Plano_V3!$A$26:$G$759,7,0)</f>
        <v xml:space="preserve">6. Em implementação </v>
      </c>
      <c r="H711" s="135" t="s">
        <v>28</v>
      </c>
      <c r="I711" s="388" t="s">
        <v>2257</v>
      </c>
      <c r="J711" s="388" t="s">
        <v>2375</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2420</v>
      </c>
      <c r="S711" s="403" t="s">
        <v>2381</v>
      </c>
      <c r="T711" s="403" t="s">
        <v>2342</v>
      </c>
      <c r="U711" s="331" t="s">
        <v>1863</v>
      </c>
    </row>
    <row r="712" spans="1:21" ht="16.350000000000001" hidden="1" customHeight="1">
      <c r="A712" s="29" t="str">
        <f t="shared" si="11"/>
        <v>lt004_protectionBLDNG_AR</v>
      </c>
      <c r="B712" s="141" t="s">
        <v>26</v>
      </c>
      <c r="C712" s="137" t="s">
        <v>26</v>
      </c>
      <c r="D712" s="133" t="s">
        <v>40</v>
      </c>
      <c r="E712" s="136" t="s">
        <v>368</v>
      </c>
      <c r="F712" s="384" t="s">
        <v>2276</v>
      </c>
      <c r="G712" s="135" t="str">
        <f>VLOOKUP(A712,Plano_V3!$A$26:$G$759,7,0)</f>
        <v xml:space="preserve">6. Em implementação </v>
      </c>
      <c r="H712" s="135" t="s">
        <v>28</v>
      </c>
      <c r="I712" s="388" t="s">
        <v>2257</v>
      </c>
      <c r="J712" s="388" t="s">
        <v>2375</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2416</v>
      </c>
      <c r="S712" s="403" t="s">
        <v>2382</v>
      </c>
      <c r="T712" s="403" t="s">
        <v>2342</v>
      </c>
      <c r="U712" s="331" t="s">
        <v>1863</v>
      </c>
    </row>
    <row r="713" spans="1:21" ht="16.350000000000001" hidden="1" customHeight="1">
      <c r="A713" s="29" t="str">
        <f t="shared" si="11"/>
        <v>lt004_protectionRL_ESTT_CRTFCTN</v>
      </c>
      <c r="B713" s="141" t="s">
        <v>26</v>
      </c>
      <c r="C713" s="137" t="s">
        <v>26</v>
      </c>
      <c r="D713" s="133" t="s">
        <v>40</v>
      </c>
      <c r="E713" s="136" t="s">
        <v>368</v>
      </c>
      <c r="F713" s="384" t="s">
        <v>2277</v>
      </c>
      <c r="G713" s="135" t="str">
        <f>VLOOKUP(A713,Plano_V3!$A$26:$G$759,7,0)</f>
        <v xml:space="preserve">6. Em implementação </v>
      </c>
      <c r="H713" s="135" t="s">
        <v>28</v>
      </c>
      <c r="I713" s="388" t="s">
        <v>2325</v>
      </c>
      <c r="J713" s="388" t="s">
        <v>2375</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2416</v>
      </c>
      <c r="S713" s="403" t="s">
        <v>2382</v>
      </c>
      <c r="T713" s="403" t="s">
        <v>2342</v>
      </c>
      <c r="U713" s="331" t="s">
        <v>1863</v>
      </c>
    </row>
    <row r="714" spans="1:21" ht="16.350000000000001" hidden="1" customHeight="1">
      <c r="A714" s="29" t="str">
        <f t="shared" si="11"/>
        <v>lt004_protectionTYP_VHCL</v>
      </c>
      <c r="B714" s="141" t="s">
        <v>26</v>
      </c>
      <c r="C714" s="137" t="s">
        <v>26</v>
      </c>
      <c r="D714" s="133" t="s">
        <v>40</v>
      </c>
      <c r="E714" s="136" t="s">
        <v>368</v>
      </c>
      <c r="F714" s="384" t="s">
        <v>2278</v>
      </c>
      <c r="G714" s="135" t="str">
        <f>VLOOKUP(A714,Plano_V3!$A$26:$G$759,7,0)</f>
        <v>7. Por iniciar</v>
      </c>
      <c r="H714" s="135" t="s">
        <v>28</v>
      </c>
      <c r="I714" s="388" t="s">
        <v>2258</v>
      </c>
      <c r="J714" s="388" t="s">
        <v>2375</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2421</v>
      </c>
      <c r="S714" s="403" t="s">
        <v>2382</v>
      </c>
      <c r="T714" s="403" t="s">
        <v>2342</v>
      </c>
      <c r="U714" s="331" t="s">
        <v>1863</v>
      </c>
    </row>
    <row r="715" spans="1:21" ht="16.350000000000001" hidden="1" customHeight="1">
      <c r="A715" s="29" t="str">
        <f t="shared" si="11"/>
        <v>lt004_protectionDT_RGSTRTN</v>
      </c>
      <c r="B715" s="141" t="s">
        <v>26</v>
      </c>
      <c r="C715" s="137" t="s">
        <v>26</v>
      </c>
      <c r="D715" s="133" t="s">
        <v>40</v>
      </c>
      <c r="E715" s="136" t="s">
        <v>368</v>
      </c>
      <c r="F715" s="384" t="s">
        <v>2279</v>
      </c>
      <c r="G715" s="135" t="str">
        <f>VLOOKUP(A715,Plano_V3!$A$26:$G$759,7,0)</f>
        <v xml:space="preserve">6. Em implementação </v>
      </c>
      <c r="H715" s="135" t="s">
        <v>28</v>
      </c>
      <c r="I715" s="388" t="s">
        <v>2325</v>
      </c>
      <c r="J715" s="388" t="s">
        <v>2375</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2416</v>
      </c>
      <c r="S715" s="403" t="s">
        <v>2382</v>
      </c>
      <c r="T715" s="403" t="s">
        <v>2342</v>
      </c>
      <c r="U715" s="331" t="s">
        <v>1863</v>
      </c>
    </row>
    <row r="716" spans="1:21" ht="16.350000000000001" hidden="1" customHeight="1">
      <c r="A716" s="29" t="str">
        <f t="shared" si="11"/>
        <v>lt004_protectionPRMRY_ENRGY_DMND_NN_RNWBL</v>
      </c>
      <c r="B716" s="141" t="s">
        <v>26</v>
      </c>
      <c r="C716" s="137" t="s">
        <v>26</v>
      </c>
      <c r="D716" s="133" t="s">
        <v>40</v>
      </c>
      <c r="E716" s="136" t="s">
        <v>368</v>
      </c>
      <c r="F716" s="384" t="s">
        <v>2280</v>
      </c>
      <c r="G716" s="135" t="str">
        <f>VLOOKUP(A716,Plano_V3!$A$26:$G$759,7,0)</f>
        <v xml:space="preserve">6. Em implementação </v>
      </c>
      <c r="H716" s="135" t="s">
        <v>28</v>
      </c>
      <c r="I716" s="388" t="s">
        <v>2257</v>
      </c>
      <c r="J716" s="388" t="s">
        <v>2375</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2416</v>
      </c>
      <c r="S716" s="403" t="s">
        <v>2382</v>
      </c>
      <c r="T716" s="403" t="s">
        <v>2342</v>
      </c>
      <c r="U716" s="331" t="s">
        <v>1864</v>
      </c>
    </row>
    <row r="717" spans="1:21" ht="16.350000000000001" hidden="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t="s">
        <v>28</v>
      </c>
      <c r="I717" s="388" t="s">
        <v>2258</v>
      </c>
      <c r="J717" s="388" t="s">
        <v>2375</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2416</v>
      </c>
      <c r="S717" s="403" t="s">
        <v>2382</v>
      </c>
      <c r="T717" s="403" t="s">
        <v>2342</v>
      </c>
      <c r="U717" s="331" t="s">
        <v>1864</v>
      </c>
    </row>
    <row r="718" spans="1:21" ht="16.350000000000001" hidden="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t="s">
        <v>28</v>
      </c>
      <c r="I718" s="388" t="s">
        <v>2258</v>
      </c>
      <c r="J718" s="388" t="s">
        <v>2375</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2416</v>
      </c>
      <c r="S718" s="403" t="s">
        <v>2382</v>
      </c>
      <c r="T718" s="403" t="s">
        <v>2342</v>
      </c>
      <c r="U718" s="331" t="s">
        <v>1864</v>
      </c>
    </row>
    <row r="719" spans="1:21" ht="16.350000000000001" hidden="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t="s">
        <v>28</v>
      </c>
      <c r="I719" s="388" t="s">
        <v>2259</v>
      </c>
      <c r="J719" s="388" t="s">
        <v>2375</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2416</v>
      </c>
      <c r="S719" s="403" t="s">
        <v>2382</v>
      </c>
      <c r="T719" s="403" t="s">
        <v>2342</v>
      </c>
      <c r="U719" s="331" t="s">
        <v>1863</v>
      </c>
    </row>
    <row r="720" spans="1:21" ht="16.350000000000001" hidden="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3" t="s">
        <v>2341</v>
      </c>
      <c r="U720" s="331"/>
    </row>
    <row r="721" spans="1:21" ht="16.350000000000001" hidden="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3" t="s">
        <v>2341</v>
      </c>
      <c r="U721" s="331"/>
    </row>
    <row r="722" spans="1:21" ht="16.350000000000001" hidden="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3" t="s">
        <v>2341</v>
      </c>
      <c r="U722" s="331"/>
    </row>
    <row r="723" spans="1:21" ht="16.2" hidden="1">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3" t="s">
        <v>2341</v>
      </c>
      <c r="U723" s="331"/>
    </row>
    <row r="724" spans="1:21" ht="16.2" hidden="1">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3" t="s">
        <v>2341</v>
      </c>
      <c r="U724" s="331"/>
    </row>
    <row r="725" spans="1:21" ht="16.2" hidden="1">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3" t="s">
        <v>2341</v>
      </c>
      <c r="U725" s="331"/>
    </row>
    <row r="726" spans="1:21" ht="16.2" hidden="1">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3" t="s">
        <v>2341</v>
      </c>
      <c r="U726" s="331"/>
    </row>
    <row r="727" spans="1:21" ht="16.2" hidden="1">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3" t="s">
        <v>2341</v>
      </c>
      <c r="U727" s="331"/>
    </row>
    <row r="728" spans="1:21" ht="16.2" hidden="1">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3" t="s">
        <v>2341</v>
      </c>
      <c r="U728" s="331"/>
    </row>
    <row r="729" spans="1:21" ht="16.2" hidden="1">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3" t="s">
        <v>2341</v>
      </c>
      <c r="U729" s="331"/>
    </row>
    <row r="730" spans="1:21" ht="16.2" hidden="1">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3" t="s">
        <v>2341</v>
      </c>
      <c r="U730" s="331"/>
    </row>
    <row r="731" spans="1:21" ht="16.2" hidden="1">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3" t="s">
        <v>2341</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652</v>
      </c>
      <c r="B3" t="s">
        <v>653</v>
      </c>
    </row>
    <row r="4" spans="1:2">
      <c r="A4" t="s">
        <v>2402</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2403</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7</v>
      </c>
    </row>
    <row r="60" spans="1:2">
      <c r="A60" t="s">
        <v>666</v>
      </c>
      <c r="B60" s="323">
        <v>1</v>
      </c>
    </row>
    <row r="61" spans="1:2">
      <c r="A61" t="s">
        <v>2195</v>
      </c>
      <c r="B61" s="323">
        <v>7</v>
      </c>
    </row>
    <row r="62" spans="1:2">
      <c r="A62" t="s">
        <v>2196</v>
      </c>
      <c r="B62" s="323">
        <v>7</v>
      </c>
    </row>
    <row r="63" spans="1:2">
      <c r="A63" t="s">
        <v>2197</v>
      </c>
      <c r="B63" s="323">
        <v>7</v>
      </c>
    </row>
    <row r="64" spans="1:2">
      <c r="A64" t="s">
        <v>2198</v>
      </c>
      <c r="B64" s="323">
        <v>7</v>
      </c>
    </row>
    <row r="65" spans="1:2">
      <c r="A65" t="s">
        <v>2199</v>
      </c>
      <c r="B65" s="323">
        <v>7</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7</v>
      </c>
    </row>
    <row r="74" spans="1:2">
      <c r="A74" t="s">
        <v>2201</v>
      </c>
      <c r="B74" s="323">
        <v>7</v>
      </c>
    </row>
    <row r="75" spans="1:2">
      <c r="A75" t="s">
        <v>2202</v>
      </c>
      <c r="B75" s="323">
        <v>7</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7</v>
      </c>
    </row>
    <row r="81" spans="1:2">
      <c r="A81" t="s">
        <v>2204</v>
      </c>
      <c r="B81" s="323">
        <v>7</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7</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7</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7</v>
      </c>
    </row>
    <row r="165" spans="1:2">
      <c r="A165" t="s">
        <v>2285</v>
      </c>
      <c r="B165" s="323">
        <v>7</v>
      </c>
    </row>
    <row r="166" spans="1:2">
      <c r="A166" t="s">
        <v>732</v>
      </c>
      <c r="B166" s="323">
        <v>1</v>
      </c>
    </row>
    <row r="167" spans="1:2">
      <c r="A167" t="s">
        <v>2286</v>
      </c>
      <c r="B167" s="323">
        <v>7</v>
      </c>
    </row>
    <row r="168" spans="1:2">
      <c r="A168" t="s">
        <v>733</v>
      </c>
      <c r="B168" s="323">
        <v>1</v>
      </c>
    </row>
    <row r="169" spans="1:2">
      <c r="A169" t="s">
        <v>2287</v>
      </c>
      <c r="B169" s="323">
        <v>7</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7</v>
      </c>
    </row>
    <row r="183" spans="1:2">
      <c r="A183" t="s">
        <v>744</v>
      </c>
      <c r="B183" s="323">
        <v>0</v>
      </c>
    </row>
    <row r="184" spans="1:2">
      <c r="A184" t="s">
        <v>2291</v>
      </c>
      <c r="B184" s="323">
        <v>7</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7</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7</v>
      </c>
    </row>
    <row r="199" spans="1:2">
      <c r="A199" t="s">
        <v>2299</v>
      </c>
      <c r="B199" s="323">
        <v>7</v>
      </c>
    </row>
    <row r="200" spans="1:2">
      <c r="A200" t="s">
        <v>752</v>
      </c>
      <c r="B200" s="323">
        <v>1</v>
      </c>
    </row>
    <row r="201" spans="1:2">
      <c r="A201" t="s">
        <v>2300</v>
      </c>
      <c r="B201" s="323">
        <v>7</v>
      </c>
    </row>
    <row r="202" spans="1:2">
      <c r="A202" t="s">
        <v>2301</v>
      </c>
      <c r="B202" s="323">
        <v>8</v>
      </c>
    </row>
    <row r="203" spans="1:2">
      <c r="A203" t="s">
        <v>753</v>
      </c>
      <c r="B203" s="323">
        <v>1</v>
      </c>
    </row>
    <row r="204" spans="1:2">
      <c r="A204" t="s">
        <v>754</v>
      </c>
      <c r="B204" s="323">
        <v>1</v>
      </c>
    </row>
    <row r="205" spans="1:2">
      <c r="A205" t="s">
        <v>2302</v>
      </c>
      <c r="B205" s="323">
        <v>7</v>
      </c>
    </row>
    <row r="206" spans="1:2">
      <c r="A206" t="s">
        <v>755</v>
      </c>
      <c r="B206" s="323">
        <v>1</v>
      </c>
    </row>
    <row r="207" spans="1:2">
      <c r="A207" t="s">
        <v>2303</v>
      </c>
      <c r="B207" s="323">
        <v>8</v>
      </c>
    </row>
    <row r="208" spans="1:2">
      <c r="A208" t="s">
        <v>2304</v>
      </c>
      <c r="B208" s="323">
        <v>7</v>
      </c>
    </row>
    <row r="209" spans="1:2">
      <c r="A209" t="s">
        <v>2305</v>
      </c>
      <c r="B209" s="323">
        <v>7</v>
      </c>
    </row>
    <row r="210" spans="1:2">
      <c r="A210" t="s">
        <v>2306</v>
      </c>
      <c r="B210" s="323">
        <v>7</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7</v>
      </c>
    </row>
    <row r="220" spans="1:2">
      <c r="A220" t="s">
        <v>765</v>
      </c>
      <c r="B220" s="323">
        <v>1</v>
      </c>
    </row>
    <row r="221" spans="1:2">
      <c r="A221" t="s">
        <v>2308</v>
      </c>
      <c r="B221" s="323">
        <v>8</v>
      </c>
    </row>
    <row r="222" spans="1:2">
      <c r="A222" t="s">
        <v>2313</v>
      </c>
      <c r="B222" s="323">
        <v>8</v>
      </c>
    </row>
    <row r="223" spans="1:2">
      <c r="A223" t="s">
        <v>2314</v>
      </c>
      <c r="B223" s="323">
        <v>7</v>
      </c>
    </row>
    <row r="224" spans="1:2">
      <c r="A224" t="s">
        <v>2315</v>
      </c>
      <c r="B224" s="323">
        <v>7</v>
      </c>
    </row>
    <row r="225" spans="1:2">
      <c r="A225" t="s">
        <v>1892</v>
      </c>
      <c r="B225" s="323">
        <v>1</v>
      </c>
    </row>
    <row r="226" spans="1:2">
      <c r="A226" t="s">
        <v>2316</v>
      </c>
      <c r="B226" s="323">
        <v>7</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7</v>
      </c>
    </row>
    <row r="404" spans="1:2">
      <c r="A404" t="s">
        <v>2174</v>
      </c>
      <c r="B404" s="323">
        <v>7</v>
      </c>
    </row>
    <row r="405" spans="1:2">
      <c r="A405" t="s">
        <v>2175</v>
      </c>
      <c r="B405" s="323">
        <v>7</v>
      </c>
    </row>
    <row r="406" spans="1:2">
      <c r="A406" t="s">
        <v>2176</v>
      </c>
      <c r="B406" s="323">
        <v>7</v>
      </c>
    </row>
    <row r="407" spans="1:2">
      <c r="A407" t="s">
        <v>2177</v>
      </c>
      <c r="B407" s="323">
        <v>7</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7</v>
      </c>
    </row>
    <row r="420" spans="1:2">
      <c r="A420" t="s">
        <v>924</v>
      </c>
      <c r="B420" s="323">
        <v>7</v>
      </c>
    </row>
    <row r="421" spans="1:2">
      <c r="A421" t="s">
        <v>925</v>
      </c>
      <c r="B421" s="323">
        <v>1</v>
      </c>
    </row>
    <row r="422" spans="1:2">
      <c r="A422" t="s">
        <v>926</v>
      </c>
      <c r="B422" s="323">
        <v>7</v>
      </c>
    </row>
    <row r="423" spans="1:2">
      <c r="A423" t="s">
        <v>927</v>
      </c>
      <c r="B423" s="323">
        <v>7</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2</v>
      </c>
    </row>
    <row r="435" spans="1:2">
      <c r="A435" t="s">
        <v>2152</v>
      </c>
      <c r="B435" s="323">
        <v>2</v>
      </c>
    </row>
    <row r="436" spans="1:2">
      <c r="A436" t="s">
        <v>2153</v>
      </c>
      <c r="B436" s="323">
        <v>2</v>
      </c>
    </row>
    <row r="437" spans="1:2">
      <c r="A437" t="s">
        <v>2154</v>
      </c>
      <c r="B437" s="323">
        <v>2</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2</v>
      </c>
    </row>
    <row r="453" spans="1:2">
      <c r="A453" t="s">
        <v>2156</v>
      </c>
      <c r="B453" s="323">
        <v>2</v>
      </c>
    </row>
    <row r="454" spans="1:2">
      <c r="A454" t="s">
        <v>2157</v>
      </c>
      <c r="B454" s="323">
        <v>2</v>
      </c>
    </row>
    <row r="455" spans="1:2">
      <c r="A455" t="s">
        <v>2158</v>
      </c>
      <c r="B455" s="323">
        <v>2</v>
      </c>
    </row>
    <row r="456" spans="1:2">
      <c r="A456" t="s">
        <v>2159</v>
      </c>
      <c r="B456" s="323">
        <v>2</v>
      </c>
    </row>
    <row r="457" spans="1:2">
      <c r="A457" t="s">
        <v>2160</v>
      </c>
      <c r="B457" s="323">
        <v>2</v>
      </c>
    </row>
    <row r="458" spans="1:2">
      <c r="A458" t="s">
        <v>952</v>
      </c>
      <c r="B458" s="323">
        <v>7</v>
      </c>
    </row>
    <row r="459" spans="1:2">
      <c r="A459" t="s">
        <v>953</v>
      </c>
      <c r="B459" s="323">
        <v>1</v>
      </c>
    </row>
    <row r="460" spans="1:2">
      <c r="A460" t="s">
        <v>954</v>
      </c>
      <c r="B460" s="323">
        <v>1</v>
      </c>
    </row>
    <row r="461" spans="1:2">
      <c r="A461" t="s">
        <v>955</v>
      </c>
      <c r="B461" s="323">
        <v>7</v>
      </c>
    </row>
    <row r="462" spans="1:2">
      <c r="A462" t="s">
        <v>956</v>
      </c>
      <c r="B462" s="323">
        <v>7</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7</v>
      </c>
    </row>
    <row r="468" spans="1:2">
      <c r="A468" t="s">
        <v>962</v>
      </c>
      <c r="B468" s="323">
        <v>7</v>
      </c>
    </row>
    <row r="469" spans="1:2">
      <c r="A469" t="s">
        <v>963</v>
      </c>
      <c r="B469" s="323">
        <v>2</v>
      </c>
    </row>
    <row r="470" spans="1:2">
      <c r="A470" t="s">
        <v>964</v>
      </c>
      <c r="B470" s="323">
        <v>2</v>
      </c>
    </row>
    <row r="471" spans="1:2">
      <c r="A471" t="s">
        <v>965</v>
      </c>
      <c r="B471" s="323">
        <v>2</v>
      </c>
    </row>
    <row r="472" spans="1:2">
      <c r="A472" t="s">
        <v>2161</v>
      </c>
      <c r="B472" s="323">
        <v>2</v>
      </c>
    </row>
    <row r="473" spans="1:2">
      <c r="A473" t="s">
        <v>2162</v>
      </c>
      <c r="B473" s="323">
        <v>2</v>
      </c>
    </row>
    <row r="474" spans="1:2">
      <c r="A474" t="s">
        <v>2163</v>
      </c>
      <c r="B474" s="323">
        <v>2</v>
      </c>
    </row>
    <row r="475" spans="1:2">
      <c r="A475" t="s">
        <v>2164</v>
      </c>
      <c r="B475" s="323">
        <v>2</v>
      </c>
    </row>
    <row r="476" spans="1:2">
      <c r="A476" t="s">
        <v>966</v>
      </c>
      <c r="B476" s="323">
        <v>1</v>
      </c>
    </row>
    <row r="477" spans="1:2">
      <c r="A477" t="s">
        <v>967</v>
      </c>
      <c r="B477" s="323">
        <v>2</v>
      </c>
    </row>
    <row r="478" spans="1:2">
      <c r="A478" t="s">
        <v>968</v>
      </c>
      <c r="B478" s="323">
        <v>2</v>
      </c>
    </row>
    <row r="479" spans="1:2">
      <c r="A479" t="s">
        <v>969</v>
      </c>
      <c r="B479" s="323">
        <v>2</v>
      </c>
    </row>
    <row r="480" spans="1:2">
      <c r="A480" t="s">
        <v>2165</v>
      </c>
      <c r="B480" s="323">
        <v>2</v>
      </c>
    </row>
    <row r="481" spans="1:2">
      <c r="A481" t="s">
        <v>2166</v>
      </c>
      <c r="B481" s="323">
        <v>2</v>
      </c>
    </row>
    <row r="482" spans="1:2">
      <c r="A482" t="s">
        <v>2167</v>
      </c>
      <c r="B482" s="323">
        <v>2</v>
      </c>
    </row>
    <row r="483" spans="1:2">
      <c r="A483" t="s">
        <v>2168</v>
      </c>
      <c r="B483" s="323">
        <v>2</v>
      </c>
    </row>
    <row r="484" spans="1:2">
      <c r="A484" t="s">
        <v>2169</v>
      </c>
      <c r="B484" s="323">
        <v>2</v>
      </c>
    </row>
    <row r="485" spans="1:2">
      <c r="A485" t="s">
        <v>2170</v>
      </c>
      <c r="B485" s="323">
        <v>2</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3</v>
      </c>
    </row>
    <row r="504" spans="1:2">
      <c r="A504" t="s">
        <v>2092</v>
      </c>
      <c r="B504" s="323">
        <v>3</v>
      </c>
    </row>
    <row r="505" spans="1:2">
      <c r="A505" t="s">
        <v>2093</v>
      </c>
      <c r="B505" s="323">
        <v>3</v>
      </c>
    </row>
    <row r="506" spans="1:2">
      <c r="A506" t="s">
        <v>2094</v>
      </c>
      <c r="B506" s="323">
        <v>3</v>
      </c>
    </row>
    <row r="507" spans="1:2">
      <c r="A507" t="s">
        <v>2095</v>
      </c>
      <c r="B507" s="323">
        <v>3</v>
      </c>
    </row>
    <row r="508" spans="1:2">
      <c r="A508" t="s">
        <v>2096</v>
      </c>
      <c r="B508" s="323">
        <v>3</v>
      </c>
    </row>
    <row r="509" spans="1:2">
      <c r="A509" t="s">
        <v>2097</v>
      </c>
      <c r="B509" s="323">
        <v>3</v>
      </c>
    </row>
    <row r="510" spans="1:2">
      <c r="A510" t="s">
        <v>2098</v>
      </c>
      <c r="B510" s="323">
        <v>3</v>
      </c>
    </row>
    <row r="511" spans="1:2">
      <c r="A511" t="s">
        <v>2099</v>
      </c>
      <c r="B511" s="323">
        <v>3</v>
      </c>
    </row>
    <row r="512" spans="1:2">
      <c r="A512" t="s">
        <v>2100</v>
      </c>
      <c r="B512" s="323">
        <v>3</v>
      </c>
    </row>
    <row r="513" spans="1:2">
      <c r="A513" t="s">
        <v>2101</v>
      </c>
      <c r="B513" s="323">
        <v>3</v>
      </c>
    </row>
    <row r="514" spans="1:2">
      <c r="A514" t="s">
        <v>2102</v>
      </c>
      <c r="B514" s="323">
        <v>3</v>
      </c>
    </row>
    <row r="515" spans="1:2">
      <c r="A515" t="s">
        <v>2103</v>
      </c>
      <c r="B515" s="323">
        <v>0</v>
      </c>
    </row>
    <row r="516" spans="1:2">
      <c r="A516" t="s">
        <v>2104</v>
      </c>
      <c r="B516" s="323">
        <v>1</v>
      </c>
    </row>
    <row r="517" spans="1:2">
      <c r="A517" t="s">
        <v>2105</v>
      </c>
      <c r="B517" s="323">
        <v>3</v>
      </c>
    </row>
    <row r="518" spans="1:2">
      <c r="A518" t="s">
        <v>2106</v>
      </c>
      <c r="B518" s="323">
        <v>3</v>
      </c>
    </row>
    <row r="519" spans="1:2">
      <c r="A519" t="s">
        <v>2108</v>
      </c>
      <c r="B519" s="323">
        <v>3</v>
      </c>
    </row>
    <row r="520" spans="1:2">
      <c r="A520" t="s">
        <v>2109</v>
      </c>
      <c r="B520" s="323">
        <v>3</v>
      </c>
    </row>
    <row r="521" spans="1:2">
      <c r="A521" t="s">
        <v>2110</v>
      </c>
      <c r="B521" s="323">
        <v>3</v>
      </c>
    </row>
    <row r="522" spans="1:2">
      <c r="A522" t="s">
        <v>2111</v>
      </c>
      <c r="B522" s="323">
        <v>3</v>
      </c>
    </row>
    <row r="523" spans="1:2">
      <c r="A523" t="s">
        <v>2112</v>
      </c>
      <c r="B523" s="323">
        <v>3</v>
      </c>
    </row>
    <row r="524" spans="1:2">
      <c r="A524" t="s">
        <v>2113</v>
      </c>
      <c r="B524" s="323">
        <v>3</v>
      </c>
    </row>
    <row r="525" spans="1:2">
      <c r="A525" t="s">
        <v>2114</v>
      </c>
      <c r="B525" s="323">
        <v>3</v>
      </c>
    </row>
    <row r="526" spans="1:2">
      <c r="A526" t="s">
        <v>2115</v>
      </c>
      <c r="B526" s="323">
        <v>3</v>
      </c>
    </row>
    <row r="527" spans="1:2">
      <c r="A527" t="s">
        <v>2116</v>
      </c>
      <c r="B527" s="323">
        <v>3</v>
      </c>
    </row>
    <row r="528" spans="1:2">
      <c r="A528" t="s">
        <v>2117</v>
      </c>
      <c r="B528" s="323">
        <v>3</v>
      </c>
    </row>
    <row r="529" spans="1:2">
      <c r="A529" t="s">
        <v>2118</v>
      </c>
      <c r="B529" s="323">
        <v>3</v>
      </c>
    </row>
    <row r="530" spans="1:2">
      <c r="A530" t="s">
        <v>2119</v>
      </c>
      <c r="B530" s="323">
        <v>3</v>
      </c>
    </row>
    <row r="531" spans="1:2">
      <c r="A531" t="s">
        <v>2120</v>
      </c>
      <c r="B531" s="323">
        <v>3</v>
      </c>
    </row>
    <row r="532" spans="1:2">
      <c r="A532" t="s">
        <v>2121</v>
      </c>
      <c r="B532" s="323">
        <v>3</v>
      </c>
    </row>
    <row r="533" spans="1:2">
      <c r="A533" t="s">
        <v>2122</v>
      </c>
      <c r="B533" s="323">
        <v>3</v>
      </c>
    </row>
    <row r="534" spans="1:2">
      <c r="A534" t="s">
        <v>2123</v>
      </c>
      <c r="B534" s="323">
        <v>3</v>
      </c>
    </row>
    <row r="535" spans="1:2">
      <c r="A535" t="s">
        <v>2124</v>
      </c>
      <c r="B535" s="323">
        <v>3</v>
      </c>
    </row>
    <row r="536" spans="1:2">
      <c r="A536" t="s">
        <v>2125</v>
      </c>
      <c r="B536" s="323">
        <v>3</v>
      </c>
    </row>
    <row r="537" spans="1:2">
      <c r="A537" t="s">
        <v>2126</v>
      </c>
      <c r="B537" s="323">
        <v>3</v>
      </c>
    </row>
    <row r="538" spans="1:2">
      <c r="A538" t="s">
        <v>2397</v>
      </c>
      <c r="B538" s="323">
        <v>0</v>
      </c>
    </row>
    <row r="539" spans="1:2">
      <c r="A539" t="s">
        <v>2127</v>
      </c>
      <c r="B539" s="323">
        <v>3</v>
      </c>
    </row>
    <row r="540" spans="1:2">
      <c r="A540" t="s">
        <v>2128</v>
      </c>
      <c r="B540" s="323">
        <v>3</v>
      </c>
    </row>
    <row r="541" spans="1:2">
      <c r="A541" t="s">
        <v>2129</v>
      </c>
      <c r="B541" s="323">
        <v>3</v>
      </c>
    </row>
    <row r="542" spans="1:2">
      <c r="A542" t="s">
        <v>2130</v>
      </c>
      <c r="B542" s="323">
        <v>3</v>
      </c>
    </row>
    <row r="543" spans="1:2">
      <c r="A543" t="s">
        <v>2131</v>
      </c>
      <c r="B543" s="323">
        <v>3</v>
      </c>
    </row>
    <row r="544" spans="1:2">
      <c r="A544" t="s">
        <v>2132</v>
      </c>
      <c r="B544" s="323">
        <v>3</v>
      </c>
    </row>
    <row r="545" spans="1:2">
      <c r="A545" t="s">
        <v>2133</v>
      </c>
      <c r="B545" s="323">
        <v>3</v>
      </c>
    </row>
    <row r="546" spans="1:2">
      <c r="A546" t="s">
        <v>2134</v>
      </c>
      <c r="B546" s="323">
        <v>3</v>
      </c>
    </row>
    <row r="547" spans="1:2">
      <c r="A547" t="s">
        <v>2398</v>
      </c>
      <c r="B547" s="323">
        <v>0</v>
      </c>
    </row>
    <row r="548" spans="1:2">
      <c r="A548" t="s">
        <v>2135</v>
      </c>
      <c r="B548" s="323">
        <v>3</v>
      </c>
    </row>
    <row r="549" spans="1:2">
      <c r="A549" t="s">
        <v>2136</v>
      </c>
      <c r="B549" s="323">
        <v>3</v>
      </c>
    </row>
    <row r="550" spans="1:2">
      <c r="A550" t="s">
        <v>2399</v>
      </c>
      <c r="B550" s="323">
        <v>0</v>
      </c>
    </row>
    <row r="551" spans="1:2">
      <c r="A551" t="s">
        <v>2137</v>
      </c>
      <c r="B551" s="323">
        <v>3</v>
      </c>
    </row>
    <row r="552" spans="1:2">
      <c r="A552" t="s">
        <v>2138</v>
      </c>
      <c r="B552" s="323">
        <v>3</v>
      </c>
    </row>
    <row r="553" spans="1:2">
      <c r="A553" t="s">
        <v>2139</v>
      </c>
      <c r="B553" s="323">
        <v>3</v>
      </c>
    </row>
    <row r="554" spans="1:2">
      <c r="A554" t="s">
        <v>2140</v>
      </c>
      <c r="B554" s="323">
        <v>3</v>
      </c>
    </row>
    <row r="555" spans="1:2">
      <c r="A555" t="s">
        <v>2141</v>
      </c>
      <c r="B555" s="323">
        <v>3</v>
      </c>
    </row>
    <row r="556" spans="1:2">
      <c r="A556" t="s">
        <v>2400</v>
      </c>
      <c r="B556" s="323">
        <v>0</v>
      </c>
    </row>
    <row r="557" spans="1:2">
      <c r="A557" t="s">
        <v>2142</v>
      </c>
      <c r="B557" s="323">
        <v>3</v>
      </c>
    </row>
    <row r="558" spans="1:2">
      <c r="A558" t="s">
        <v>2143</v>
      </c>
      <c r="B558" s="323">
        <v>3</v>
      </c>
    </row>
    <row r="559" spans="1:2">
      <c r="A559" t="s">
        <v>2144</v>
      </c>
      <c r="B559" s="323">
        <v>3</v>
      </c>
    </row>
    <row r="560" spans="1:2">
      <c r="A560" t="s">
        <v>2145</v>
      </c>
      <c r="B560" s="323">
        <v>3</v>
      </c>
    </row>
    <row r="561" spans="1:2">
      <c r="A561" t="s">
        <v>2146</v>
      </c>
      <c r="B561" s="323">
        <v>3</v>
      </c>
    </row>
    <row r="562" spans="1:2">
      <c r="A562" t="s">
        <v>2147</v>
      </c>
      <c r="B562" s="323">
        <v>3</v>
      </c>
    </row>
    <row r="563" spans="1:2">
      <c r="A563" t="s">
        <v>2148</v>
      </c>
      <c r="B563" s="323">
        <v>3</v>
      </c>
    </row>
    <row r="564" spans="1:2">
      <c r="A564" t="s">
        <v>2149</v>
      </c>
      <c r="B564" s="323">
        <v>3</v>
      </c>
    </row>
    <row r="565" spans="1:2">
      <c r="A565" t="s">
        <v>2150</v>
      </c>
      <c r="B565" s="323">
        <v>3</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1</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topLeftCell="G1" zoomScale="70" zoomScaleNormal="70" workbookViewId="0">
      <selection activeCell="N780" sqref="N780:N914"/>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8984375" customWidth="1"/>
    <col min="25" max="25" width="7" customWidth="1"/>
    <col min="26" max="45" width="0" hidden="1" customWidth="1"/>
    <col min="46" max="16384" width="8.89843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50000000000001" hidden="1" customHeight="1">
      <c r="B9" s="2" t="s">
        <v>26</v>
      </c>
      <c r="C9" s="2" t="s">
        <v>34</v>
      </c>
      <c r="D9" s="2" t="s">
        <v>1182</v>
      </c>
      <c r="E9" s="2" t="s">
        <v>38</v>
      </c>
      <c r="F9" s="2" t="s">
        <v>37</v>
      </c>
      <c r="G9" s="2" t="s">
        <v>38</v>
      </c>
      <c r="H9" s="56" t="str">
        <f>Table1[[#This Row],[Tabela]]&amp;Table1[[#This Row],[Campo]]</f>
        <v>ENERGY_CERTIFICATE_EST_INPUTn.a.</v>
      </c>
      <c r="I9" s="2" t="s">
        <v>2340</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50000000000001"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50000000000001" hidden="1" customHeight="1">
      <c r="B12" s="2" t="s">
        <v>26</v>
      </c>
      <c r="C12" s="2" t="s">
        <v>34</v>
      </c>
      <c r="D12" s="2" t="s">
        <v>1182</v>
      </c>
      <c r="E12" s="2" t="s">
        <v>38</v>
      </c>
      <c r="F12" s="2" t="s">
        <v>37</v>
      </c>
      <c r="G12" s="134" t="s">
        <v>1975</v>
      </c>
      <c r="H12" s="56" t="str">
        <f>Table1[[#This Row],[Tabela]]&amp;Table1[[#This Row],[Campo]]</f>
        <v>ENERGY_CERTIFICATE_EST_INPUTCHAVE_GLOVAL</v>
      </c>
      <c r="I12" s="2" t="s">
        <v>2340</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50000000000001" hidden="1" customHeight="1">
      <c r="B13" s="2" t="s">
        <v>26</v>
      </c>
      <c r="C13" s="2" t="s">
        <v>34</v>
      </c>
      <c r="D13" s="2" t="s">
        <v>1182</v>
      </c>
      <c r="E13" s="2" t="s">
        <v>38</v>
      </c>
      <c r="F13" s="2" t="s">
        <v>37</v>
      </c>
      <c r="G13" s="134" t="s">
        <v>41</v>
      </c>
      <c r="H13" s="56" t="str">
        <f>Table1[[#This Row],[Tabela]]&amp;Table1[[#This Row],[Campo]]</f>
        <v>ENERGY_CERTIFICATE_EST_INPUTPROPERTY_BANK_ID</v>
      </c>
      <c r="I13" s="2" t="s">
        <v>2340</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599999999999994" hidden="1" customHeight="1">
      <c r="B14" s="2" t="s">
        <v>26</v>
      </c>
      <c r="C14" s="2" t="s">
        <v>34</v>
      </c>
      <c r="D14" s="2" t="s">
        <v>1182</v>
      </c>
      <c r="E14" s="2" t="s">
        <v>38</v>
      </c>
      <c r="F14" s="2" t="s">
        <v>37</v>
      </c>
      <c r="G14" s="134" t="s">
        <v>43</v>
      </c>
      <c r="H14" s="56" t="str">
        <f>Table1[[#This Row],[Tabela]]&amp;Table1[[#This Row],[Campo]]</f>
        <v>ENERGY_CERTIFICATE_EST_INPUTPROPERTY_BRANCH_CODE</v>
      </c>
      <c r="I14" s="2" t="s">
        <v>2340</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599999999999994" hidden="1" customHeight="1">
      <c r="B15" s="2" t="s">
        <v>26</v>
      </c>
      <c r="C15" s="2" t="s">
        <v>34</v>
      </c>
      <c r="D15" s="2" t="s">
        <v>1182</v>
      </c>
      <c r="E15" s="2" t="s">
        <v>38</v>
      </c>
      <c r="F15" s="2" t="s">
        <v>37</v>
      </c>
      <c r="G15" s="134" t="s">
        <v>44</v>
      </c>
      <c r="H15" s="56" t="str">
        <f>Table1[[#This Row],[Tabela]]&amp;Table1[[#This Row],[Campo]]</f>
        <v>ENERGY_CERTIFICATE_EST_INPUTPROPERTY_CONTRACT_ID</v>
      </c>
      <c r="I15" s="2" t="s">
        <v>2340</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50000000000001"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2340</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1182</v>
      </c>
      <c r="E17" s="2" t="s">
        <v>38</v>
      </c>
      <c r="F17" s="2" t="s">
        <v>37</v>
      </c>
      <c r="G17" s="134" t="s">
        <v>1976</v>
      </c>
      <c r="H17" s="56" t="str">
        <f>Table1[[#This Row],[Tabela]]&amp;Table1[[#This Row],[Campo]]</f>
        <v>ENERGY_CERTIFICATE_EST_INPUTCÓDIGO_DISTRITO</v>
      </c>
      <c r="I17" s="2" t="s">
        <v>2340</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1182</v>
      </c>
      <c r="E18" s="2" t="s">
        <v>38</v>
      </c>
      <c r="F18" s="2" t="s">
        <v>37</v>
      </c>
      <c r="G18" s="134" t="s">
        <v>1977</v>
      </c>
      <c r="H18" s="56" t="str">
        <f>Table1[[#This Row],[Tabela]]&amp;Table1[[#This Row],[Campo]]</f>
        <v>ENERGY_CERTIFICATE_EST_INPUTNOMBRE_DISTRITO</v>
      </c>
      <c r="I18" s="2" t="s">
        <v>2340</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1182</v>
      </c>
      <c r="E19" s="2" t="s">
        <v>38</v>
      </c>
      <c r="F19" s="2" t="s">
        <v>37</v>
      </c>
      <c r="G19" s="134" t="s">
        <v>1978</v>
      </c>
      <c r="H19" s="56" t="str">
        <f>Table1[[#This Row],[Tabela]]&amp;Table1[[#This Row],[Campo]]</f>
        <v>ENERGY_CERTIFICATE_EST_INPUTCÓDIGO_CONCEJO</v>
      </c>
      <c r="I19" s="2" t="s">
        <v>2340</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1182</v>
      </c>
      <c r="E20" s="2" t="s">
        <v>38</v>
      </c>
      <c r="F20" s="2" t="s">
        <v>37</v>
      </c>
      <c r="G20" s="134" t="s">
        <v>1979</v>
      </c>
      <c r="H20" s="56" t="str">
        <f>Table1[[#This Row],[Tabela]]&amp;Table1[[#This Row],[Campo]]</f>
        <v>ENERGY_CERTIFICATE_EST_INPUTNOMBRE_CONCEJO</v>
      </c>
      <c r="I20" s="2" t="s">
        <v>2340</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1182</v>
      </c>
      <c r="E21" s="2" t="s">
        <v>38</v>
      </c>
      <c r="F21" s="2" t="s">
        <v>37</v>
      </c>
      <c r="G21" s="134" t="s">
        <v>1980</v>
      </c>
      <c r="H21" s="56" t="str">
        <f>Table1[[#This Row],[Tabela]]&amp;Table1[[#This Row],[Campo]]</f>
        <v>ENERGY_CERTIFICATE_EST_INPUTCÓDIGO_FREGUESIA</v>
      </c>
      <c r="I21" s="2" t="s">
        <v>2340</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1182</v>
      </c>
      <c r="E22" s="2" t="s">
        <v>38</v>
      </c>
      <c r="F22" s="2" t="s">
        <v>37</v>
      </c>
      <c r="G22" s="134" t="s">
        <v>1981</v>
      </c>
      <c r="H22" s="56" t="str">
        <f>Table1[[#This Row],[Tabela]]&amp;Table1[[#This Row],[Campo]]</f>
        <v>ENERGY_CERTIFICATE_EST_INPUTNOMBRE_FREGUESIA</v>
      </c>
      <c r="I22" s="2" t="s">
        <v>2340</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1182</v>
      </c>
      <c r="E23" s="2" t="s">
        <v>38</v>
      </c>
      <c r="F23" s="2" t="s">
        <v>37</v>
      </c>
      <c r="G23" s="134" t="s">
        <v>1982</v>
      </c>
      <c r="H23" s="56" t="str">
        <f>Table1[[#This Row],[Tabela]]&amp;Table1[[#This Row],[Campo]]</f>
        <v>ENERGY_CERTIFICATE_EST_INPUTLOCALIDADE</v>
      </c>
      <c r="I23" s="2" t="s">
        <v>2340</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1182</v>
      </c>
      <c r="E24" s="2" t="s">
        <v>38</v>
      </c>
      <c r="F24" s="2" t="s">
        <v>37</v>
      </c>
      <c r="G24" s="134" t="s">
        <v>1983</v>
      </c>
      <c r="H24" s="56" t="str">
        <f>Table1[[#This Row],[Tabela]]&amp;Table1[[#This Row],[Campo]]</f>
        <v>ENERGY_CERTIFICATE_EST_INPUTTIPO_VIA</v>
      </c>
      <c r="I24" s="2" t="s">
        <v>2340</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50000000000001" hidden="1" customHeight="1">
      <c r="B25" s="2" t="s">
        <v>26</v>
      </c>
      <c r="C25" s="2" t="s">
        <v>34</v>
      </c>
      <c r="D25" s="2" t="s">
        <v>1182</v>
      </c>
      <c r="E25" s="2" t="s">
        <v>38</v>
      </c>
      <c r="F25" s="2" t="s">
        <v>37</v>
      </c>
      <c r="G25" s="134" t="s">
        <v>1984</v>
      </c>
      <c r="H25" s="56" t="str">
        <f>Table1[[#This Row],[Tabela]]&amp;Table1[[#This Row],[Campo]]</f>
        <v>ENERGY_CERTIFICATE_EST_INPUTNOMBRE_TIPO_VIA</v>
      </c>
      <c r="I25" s="2" t="s">
        <v>2340</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50000000000001" hidden="1" customHeight="1">
      <c r="B26" s="2" t="s">
        <v>26</v>
      </c>
      <c r="C26" s="2" t="s">
        <v>34</v>
      </c>
      <c r="D26" s="2" t="s">
        <v>1182</v>
      </c>
      <c r="E26" s="2" t="s">
        <v>38</v>
      </c>
      <c r="F26" s="2" t="s">
        <v>37</v>
      </c>
      <c r="G26" s="134" t="s">
        <v>1985</v>
      </c>
      <c r="H26" s="56" t="str">
        <f>Table1[[#This Row],[Tabela]]&amp;Table1[[#This Row],[Campo]]</f>
        <v>ENERGY_CERTIFICATE_EST_INPUTNOMBRE_VIA</v>
      </c>
      <c r="I26" s="2" t="s">
        <v>2340</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50000000000001" hidden="1" customHeight="1">
      <c r="B27" s="2" t="s">
        <v>26</v>
      </c>
      <c r="C27" s="2" t="s">
        <v>34</v>
      </c>
      <c r="D27" s="2" t="s">
        <v>1182</v>
      </c>
      <c r="E27" s="2" t="s">
        <v>38</v>
      </c>
      <c r="F27" s="2" t="s">
        <v>37</v>
      </c>
      <c r="G27" s="134" t="s">
        <v>1986</v>
      </c>
      <c r="H27" s="56" t="str">
        <f>Table1[[#This Row],[Tabela]]&amp;Table1[[#This Row],[Campo]]</f>
        <v>ENERGY_CERTIFICATE_EST_INPUTNUMERO_VIA</v>
      </c>
      <c r="I27" s="2" t="s">
        <v>2340</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50000000000001" hidden="1" customHeight="1">
      <c r="B28" s="2" t="s">
        <v>26</v>
      </c>
      <c r="C28" s="2" t="s">
        <v>34</v>
      </c>
      <c r="D28" s="2" t="s">
        <v>1182</v>
      </c>
      <c r="E28" s="2" t="s">
        <v>38</v>
      </c>
      <c r="F28" s="2" t="s">
        <v>37</v>
      </c>
      <c r="G28" s="134" t="s">
        <v>1987</v>
      </c>
      <c r="H28" s="56" t="str">
        <f>Table1[[#This Row],[Tabela]]&amp;Table1[[#This Row],[Campo]]</f>
        <v>ENERGY_CERTIFICATE_EST_INPUTLOTE</v>
      </c>
      <c r="I28" s="2" t="s">
        <v>2340</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1182</v>
      </c>
      <c r="E29" s="2" t="s">
        <v>38</v>
      </c>
      <c r="F29" s="2" t="s">
        <v>37</v>
      </c>
      <c r="G29" s="134" t="s">
        <v>1988</v>
      </c>
      <c r="H29" s="56" t="str">
        <f>Table1[[#This Row],[Tabela]]&amp;Table1[[#This Row],[Campo]]</f>
        <v>ENERGY_CERTIFICATE_EST_INPUTURBANIZACION</v>
      </c>
      <c r="I29" s="2" t="s">
        <v>2340</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50000000000001" hidden="1" customHeight="1">
      <c r="B30" s="2" t="s">
        <v>26</v>
      </c>
      <c r="C30" s="2" t="s">
        <v>34</v>
      </c>
      <c r="D30" s="2" t="s">
        <v>1182</v>
      </c>
      <c r="E30" s="2" t="s">
        <v>38</v>
      </c>
      <c r="F30" s="2" t="s">
        <v>37</v>
      </c>
      <c r="G30" s="134" t="s">
        <v>1989</v>
      </c>
      <c r="H30" s="56" t="str">
        <f>Table1[[#This Row],[Tabela]]&amp;Table1[[#This Row],[Campo]]</f>
        <v>ENERGY_CERTIFICATE_EST_INPUTCAGLURB</v>
      </c>
      <c r="I30" s="2" t="s">
        <v>2340</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50000000000001" hidden="1" customHeight="1">
      <c r="B31" s="2" t="s">
        <v>26</v>
      </c>
      <c r="C31" s="2" t="s">
        <v>34</v>
      </c>
      <c r="D31" s="2" t="s">
        <v>1182</v>
      </c>
      <c r="E31" s="2" t="s">
        <v>38</v>
      </c>
      <c r="F31" s="2" t="s">
        <v>37</v>
      </c>
      <c r="G31" s="134" t="s">
        <v>1990</v>
      </c>
      <c r="H31" s="56" t="str">
        <f>Table1[[#This Row],[Tabela]]&amp;Table1[[#This Row],[Campo]]</f>
        <v>ENERGY_CERTIFICATE_EST_INPUTRESTO_DIRECCION</v>
      </c>
      <c r="I31" s="2" t="s">
        <v>2340</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1182</v>
      </c>
      <c r="E32" s="2" t="s">
        <v>38</v>
      </c>
      <c r="F32" s="2" t="s">
        <v>37</v>
      </c>
      <c r="G32" s="134" t="s">
        <v>1991</v>
      </c>
      <c r="H32" s="56" t="str">
        <f>Table1[[#This Row],[Tabela]]&amp;Table1[[#This Row],[Campo]]</f>
        <v>ENERGY_CERTIFICATE_EST_INPUTLATITUDE</v>
      </c>
      <c r="I32" s="2" t="s">
        <v>2340</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1182</v>
      </c>
      <c r="E33" s="2" t="s">
        <v>38</v>
      </c>
      <c r="F33" s="2" t="s">
        <v>37</v>
      </c>
      <c r="G33" s="134" t="s">
        <v>1992</v>
      </c>
      <c r="H33" s="56" t="str">
        <f>Table1[[#This Row],[Tabela]]&amp;Table1[[#This Row],[Campo]]</f>
        <v>ENERGY_CERTIFICATE_EST_INPUTLONGITUDE</v>
      </c>
      <c r="I33" s="2" t="s">
        <v>2340</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1182</v>
      </c>
      <c r="E34" s="2" t="s">
        <v>38</v>
      </c>
      <c r="F34" s="2" t="s">
        <v>37</v>
      </c>
      <c r="G34" s="134" t="s">
        <v>1993</v>
      </c>
      <c r="H34" s="56" t="str">
        <f>Table1[[#This Row],[Tabela]]&amp;Table1[[#This Row],[Campo]]</f>
        <v>ENERGY_CERTIFICATE_EST_INPUTCODIGO_POSTAL</v>
      </c>
      <c r="I34" s="2" t="s">
        <v>2340</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1182</v>
      </c>
      <c r="E35" s="2" t="s">
        <v>38</v>
      </c>
      <c r="F35" s="2" t="s">
        <v>37</v>
      </c>
      <c r="G35" s="134" t="s">
        <v>1994</v>
      </c>
      <c r="H35" s="56" t="str">
        <f>Table1[[#This Row],[Tabela]]&amp;Table1[[#This Row],[Campo]]</f>
        <v>ENERGY_CERTIFICATE_EST_INPUTSUBCODIGO_POSTAL</v>
      </c>
      <c r="I35" s="2" t="s">
        <v>2340</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1182</v>
      </c>
      <c r="E36" s="2" t="s">
        <v>38</v>
      </c>
      <c r="F36" s="2" t="s">
        <v>37</v>
      </c>
      <c r="G36" s="134" t="s">
        <v>1995</v>
      </c>
      <c r="H36" s="56" t="str">
        <f>Table1[[#This Row],[Tabela]]&amp;Table1[[#This Row],[Campo]]</f>
        <v>ENERGY_CERTIFICATE_EST_INPUTASSUPERFICIE_UTIL</v>
      </c>
      <c r="I36" s="2" t="s">
        <v>2340</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1182</v>
      </c>
      <c r="E37" s="2" t="s">
        <v>38</v>
      </c>
      <c r="F37" s="2" t="s">
        <v>37</v>
      </c>
      <c r="G37" s="134" t="s">
        <v>1996</v>
      </c>
      <c r="H37" s="56" t="str">
        <f>Table1[[#This Row],[Tabela]]&amp;Table1[[#This Row],[Campo]]</f>
        <v>ENERGY_CERTIFICATE_EST_INPUTANIO_CONSTRUCCION</v>
      </c>
      <c r="I37" s="2" t="s">
        <v>2340</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2340</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1182</v>
      </c>
      <c r="E39" s="2" t="s">
        <v>38</v>
      </c>
      <c r="F39" s="2" t="s">
        <v>37</v>
      </c>
      <c r="G39" s="134" t="s">
        <v>1998</v>
      </c>
      <c r="H39" s="56" t="str">
        <f>Table1[[#This Row],[Tabela]]&amp;Table1[[#This Row],[Campo]]</f>
        <v>ENERGY_CERTIFICATE_EST_INPUTPISO_APARTAMENTO</v>
      </c>
      <c r="I39" s="2" t="s">
        <v>2340</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1182</v>
      </c>
      <c r="E40" s="2" t="s">
        <v>38</v>
      </c>
      <c r="F40" s="2" t="s">
        <v>37</v>
      </c>
      <c r="G40" s="134" t="s">
        <v>1999</v>
      </c>
      <c r="H40" s="56" t="str">
        <f>Table1[[#This Row],[Tabela]]&amp;Table1[[#This Row],[Campo]]</f>
        <v>ENERGY_CERTIFICATE_EST_INPUTCASA_UNIFAMILIAR</v>
      </c>
      <c r="I40" s="2" t="s">
        <v>2340</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2340</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1182</v>
      </c>
      <c r="E42" s="2" t="s">
        <v>38</v>
      </c>
      <c r="F42" s="2" t="s">
        <v>37</v>
      </c>
      <c r="G42" s="134" t="s">
        <v>2001</v>
      </c>
      <c r="H42" s="56" t="str">
        <f>Table1[[#This Row],[Tabela]]&amp;Table1[[#This Row],[Campo]]</f>
        <v>ENERGY_CERTIFICATE_EST_INPUTNOME_CONSERVATORIA</v>
      </c>
      <c r="I42" s="2" t="s">
        <v>2340</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1182</v>
      </c>
      <c r="E43" s="2" t="s">
        <v>38</v>
      </c>
      <c r="F43" s="2" t="s">
        <v>37</v>
      </c>
      <c r="G43" s="134" t="s">
        <v>2002</v>
      </c>
      <c r="H43" s="56" t="str">
        <f>Table1[[#This Row],[Tabela]]&amp;Table1[[#This Row],[Campo]]</f>
        <v>ENERGY_CERTIFICATE_EST_INPUTCOD_CONSERVATORIA</v>
      </c>
      <c r="I43" s="2" t="s">
        <v>2340</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2340</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1182</v>
      </c>
      <c r="E45" s="2" t="s">
        <v>38</v>
      </c>
      <c r="F45" s="2" t="s">
        <v>37</v>
      </c>
      <c r="G45" s="134" t="s">
        <v>2004</v>
      </c>
      <c r="H45" s="56" t="str">
        <f>Table1[[#This Row],[Tabela]]&amp;Table1[[#This Row],[Campo]]</f>
        <v>ENERGY_CERTIFICATE_EST_INPUTART_MATRICIAIS</v>
      </c>
      <c r="I45" s="2" t="s">
        <v>2340</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1182</v>
      </c>
      <c r="E46" s="2" t="s">
        <v>38</v>
      </c>
      <c r="F46" s="2" t="s">
        <v>37</v>
      </c>
      <c r="G46" s="134" t="s">
        <v>2005</v>
      </c>
      <c r="H46" s="56" t="str">
        <f>Table1[[#This Row],[Tabela]]&amp;Table1[[#This Row],[Campo]]</f>
        <v>ENERGY_CERTIFICATE_EST_INPUTFRACCAO_AUTONOMA</v>
      </c>
      <c r="I46" s="2" t="s">
        <v>2340</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1182</v>
      </c>
      <c r="E47" s="2" t="s">
        <v>38</v>
      </c>
      <c r="F47" s="2" t="s">
        <v>37</v>
      </c>
      <c r="G47" s="134" t="s">
        <v>2006</v>
      </c>
      <c r="H47" s="56" t="str">
        <f>Table1[[#This Row],[Tabela]]&amp;Table1[[#This Row],[Campo]]</f>
        <v>ENERGY_CERTIFICATE_EST_INPUTFINALIDADE_BEM</v>
      </c>
      <c r="I47" s="2" t="s">
        <v>2340</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1182</v>
      </c>
      <c r="E48" s="2" t="s">
        <v>38</v>
      </c>
      <c r="F48" s="2" t="s">
        <v>37</v>
      </c>
      <c r="G48" s="134" t="s">
        <v>2007</v>
      </c>
      <c r="H48" s="56" t="str">
        <f>Table1[[#This Row],[Tabela]]&amp;Table1[[#This Row],[Campo]]</f>
        <v>ENERGY_CERTIFICATE_EST_INPUTCLASS_GPT31</v>
      </c>
      <c r="I48" s="2" t="s">
        <v>2340</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1182</v>
      </c>
      <c r="E49" s="2" t="s">
        <v>38</v>
      </c>
      <c r="F49" s="2" t="s">
        <v>37</v>
      </c>
      <c r="G49" s="134" t="s">
        <v>2008</v>
      </c>
      <c r="H49" s="56" t="str">
        <f>Table1[[#This Row],[Tabela]]&amp;Table1[[#This Row],[Campo]]</f>
        <v>ENERGY_CERTIFICATE_EST_INPUTCLASS_STCLIM</v>
      </c>
      <c r="I49" s="2" t="s">
        <v>2340</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50000000000001" hidden="1" customHeight="1">
      <c r="B50" s="2" t="s">
        <v>26</v>
      </c>
      <c r="C50" s="2" t="s">
        <v>34</v>
      </c>
      <c r="D50" s="2" t="s">
        <v>1182</v>
      </c>
      <c r="E50" s="2" t="s">
        <v>38</v>
      </c>
      <c r="F50" s="2" t="s">
        <v>37</v>
      </c>
      <c r="G50" s="134" t="s">
        <v>2009</v>
      </c>
      <c r="H50" s="56" t="str">
        <f>Table1[[#This Row],[Tabela]]&amp;Table1[[#This Row],[Campo]]</f>
        <v>ENERGY_CERTIFICATE_EST_INPUTCONF_STCLIM</v>
      </c>
      <c r="I50" s="2" t="s">
        <v>2340</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50000000000001" hidden="1" customHeight="1">
      <c r="B51" s="2" t="s">
        <v>26</v>
      </c>
      <c r="C51" s="2" t="s">
        <v>34</v>
      </c>
      <c r="D51" s="2" t="s">
        <v>1182</v>
      </c>
      <c r="E51" s="2" t="s">
        <v>38</v>
      </c>
      <c r="F51" s="2" t="s">
        <v>37</v>
      </c>
      <c r="G51" s="134" t="s">
        <v>2010</v>
      </c>
      <c r="H51" s="56" t="str">
        <f>Table1[[#This Row],[Tabela]]&amp;Table1[[#This Row],[Campo]]</f>
        <v>ENERGY_CERTIFICATE_EST_INPUTCLASSE_ENERGETICA</v>
      </c>
      <c r="I51" s="2" t="s">
        <v>2340</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1182</v>
      </c>
      <c r="E52" s="2" t="s">
        <v>38</v>
      </c>
      <c r="F52" s="2" t="s">
        <v>37</v>
      </c>
      <c r="G52" s="134" t="s">
        <v>2011</v>
      </c>
      <c r="H52" s="56" t="str">
        <f>Table1[[#This Row],[Tabela]]&amp;Table1[[#This Row],[Campo]]</f>
        <v>ENERGY_CERTIFICATE_EST_INPUTFIABILIDAD</v>
      </c>
      <c r="I52" s="2" t="s">
        <v>2340</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1182</v>
      </c>
      <c r="E53" s="2" t="s">
        <v>38</v>
      </c>
      <c r="F53" s="2" t="s">
        <v>37</v>
      </c>
      <c r="G53" s="134" t="s">
        <v>2012</v>
      </c>
      <c r="H53" s="56" t="str">
        <f>Table1[[#This Row],[Tabela]]&amp;Table1[[#This Row],[Campo]]</f>
        <v>ENERGY_CERTIFICATE_EST_INPUTEMISSIONES</v>
      </c>
      <c r="I53" s="2" t="s">
        <v>2340</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50000000000001" hidden="1" customHeight="1">
      <c r="B54" s="2" t="s">
        <v>26</v>
      </c>
      <c r="C54" s="2" t="s">
        <v>34</v>
      </c>
      <c r="D54" s="2" t="s">
        <v>1182</v>
      </c>
      <c r="E54" s="2" t="s">
        <v>38</v>
      </c>
      <c r="F54" s="2" t="s">
        <v>37</v>
      </c>
      <c r="G54" s="134" t="s">
        <v>2013</v>
      </c>
      <c r="H54" s="56" t="str">
        <f>Table1[[#This Row],[Tabela]]&amp;Table1[[#This Row],[Campo]]</f>
        <v>ENERGY_CERTIFICATE_EST_INPUTCONSUMOS</v>
      </c>
      <c r="I54" s="2" t="s">
        <v>2340</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50000000000001" hidden="1" customHeight="1">
      <c r="B55" s="2" t="s">
        <v>26</v>
      </c>
      <c r="C55" s="2" t="s">
        <v>34</v>
      </c>
      <c r="D55" s="2" t="s">
        <v>1182</v>
      </c>
      <c r="E55" s="2" t="s">
        <v>38</v>
      </c>
      <c r="F55" s="2" t="s">
        <v>37</v>
      </c>
      <c r="G55" s="134" t="s">
        <v>2014</v>
      </c>
      <c r="H55" s="56" t="str">
        <f>Table1[[#This Row],[Tabela]]&amp;Table1[[#This Row],[Campo]]</f>
        <v>ENERGY_CERTIFICATE_EST_INPUTDATA_ENVIO</v>
      </c>
      <c r="I55" s="2" t="s">
        <v>2340</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50000000000001" hidden="1" customHeight="1">
      <c r="B56" s="2" t="s">
        <v>26</v>
      </c>
      <c r="C56" s="2" t="s">
        <v>34</v>
      </c>
      <c r="D56" s="2" t="s">
        <v>1182</v>
      </c>
      <c r="E56" s="2" t="s">
        <v>38</v>
      </c>
      <c r="F56" s="2" t="s">
        <v>37</v>
      </c>
      <c r="G56" s="134" t="s">
        <v>1975</v>
      </c>
      <c r="H56" s="56" t="str">
        <f>Table1[[#This Row],[Tabela]]&amp;Table1[[#This Row],[Campo]]</f>
        <v>ENERGY_CERTIFICATE_EST_INPUTCHAVE_GLOVAL</v>
      </c>
      <c r="I56" s="2" t="s">
        <v>2340</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1182</v>
      </c>
      <c r="E57" s="2" t="s">
        <v>38</v>
      </c>
      <c r="F57" s="2" t="s">
        <v>37</v>
      </c>
      <c r="G57" s="134" t="s">
        <v>41</v>
      </c>
      <c r="H57" s="56" t="str">
        <f>Table1[[#This Row],[Tabela]]&amp;Table1[[#This Row],[Campo]]</f>
        <v>ENERGY_CERTIFICATE_EST_INPUTPROPERTY_BANK_ID</v>
      </c>
      <c r="I57" s="2" t="s">
        <v>2340</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1182</v>
      </c>
      <c r="E58" s="2" t="s">
        <v>38</v>
      </c>
      <c r="F58" s="2" t="s">
        <v>37</v>
      </c>
      <c r="G58" s="134" t="s">
        <v>43</v>
      </c>
      <c r="H58" s="56" t="str">
        <f>Table1[[#This Row],[Tabela]]&amp;Table1[[#This Row],[Campo]]</f>
        <v>ENERGY_CERTIFICATE_EST_INPUTPROPERTY_BRANCH_CODE</v>
      </c>
      <c r="I58" s="2" t="s">
        <v>2340</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1182</v>
      </c>
      <c r="E59" s="2" t="s">
        <v>38</v>
      </c>
      <c r="F59" s="2" t="s">
        <v>37</v>
      </c>
      <c r="G59" s="134" t="s">
        <v>44</v>
      </c>
      <c r="H59" s="56" t="str">
        <f>Table1[[#This Row],[Tabela]]&amp;Table1[[#This Row],[Campo]]</f>
        <v>ENERGY_CERTIFICATE_EST_INPUTPROPERTY_CONTRACT_ID</v>
      </c>
      <c r="I59" s="2" t="s">
        <v>2340</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2340</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1182</v>
      </c>
      <c r="E61" s="2" t="s">
        <v>38</v>
      </c>
      <c r="F61" s="2" t="s">
        <v>37</v>
      </c>
      <c r="G61" s="134" t="s">
        <v>1976</v>
      </c>
      <c r="H61" s="56" t="str">
        <f>Table1[[#This Row],[Tabela]]&amp;Table1[[#This Row],[Campo]]</f>
        <v>ENERGY_CERTIFICATE_EST_INPUTCÓDIGO_DISTRITO</v>
      </c>
      <c r="I61" s="2" t="s">
        <v>2340</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1182</v>
      </c>
      <c r="E62" s="2" t="s">
        <v>38</v>
      </c>
      <c r="F62" s="2" t="s">
        <v>37</v>
      </c>
      <c r="G62" s="134" t="s">
        <v>1977</v>
      </c>
      <c r="H62" s="56" t="str">
        <f>Table1[[#This Row],[Tabela]]&amp;Table1[[#This Row],[Campo]]</f>
        <v>ENERGY_CERTIFICATE_EST_INPUTNOMBRE_DISTRITO</v>
      </c>
      <c r="I62" s="2" t="s">
        <v>2340</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1182</v>
      </c>
      <c r="E63" s="2" t="s">
        <v>38</v>
      </c>
      <c r="F63" s="2" t="s">
        <v>37</v>
      </c>
      <c r="G63" s="134" t="s">
        <v>1978</v>
      </c>
      <c r="H63" s="56" t="str">
        <f>Table1[[#This Row],[Tabela]]&amp;Table1[[#This Row],[Campo]]</f>
        <v>ENERGY_CERTIFICATE_EST_INPUTCÓDIGO_CONCEJO</v>
      </c>
      <c r="I63" s="2" t="s">
        <v>2340</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1182</v>
      </c>
      <c r="E64" s="2" t="s">
        <v>38</v>
      </c>
      <c r="F64" s="2" t="s">
        <v>37</v>
      </c>
      <c r="G64" s="134" t="s">
        <v>1979</v>
      </c>
      <c r="H64" s="56" t="str">
        <f>Table1[[#This Row],[Tabela]]&amp;Table1[[#This Row],[Campo]]</f>
        <v>ENERGY_CERTIFICATE_EST_INPUTNOMBRE_CONCEJO</v>
      </c>
      <c r="I64" s="2" t="s">
        <v>2340</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1182</v>
      </c>
      <c r="E65" s="2" t="s">
        <v>38</v>
      </c>
      <c r="F65" s="2" t="s">
        <v>37</v>
      </c>
      <c r="G65" s="134" t="s">
        <v>1980</v>
      </c>
      <c r="H65" s="56" t="str">
        <f>Table1[[#This Row],[Tabela]]&amp;Table1[[#This Row],[Campo]]</f>
        <v>ENERGY_CERTIFICATE_EST_INPUTCÓDIGO_FREGUESIA</v>
      </c>
      <c r="I65" s="2" t="s">
        <v>2340</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1182</v>
      </c>
      <c r="E66" s="2" t="s">
        <v>38</v>
      </c>
      <c r="F66" s="2" t="s">
        <v>37</v>
      </c>
      <c r="G66" s="134" t="s">
        <v>1981</v>
      </c>
      <c r="H66" s="56" t="str">
        <f>Table1[[#This Row],[Tabela]]&amp;Table1[[#This Row],[Campo]]</f>
        <v>ENERGY_CERTIFICATE_EST_INPUTNOMBRE_FREGUESIA</v>
      </c>
      <c r="I66" s="2" t="s">
        <v>2340</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1182</v>
      </c>
      <c r="E67" s="2" t="s">
        <v>38</v>
      </c>
      <c r="F67" s="2" t="s">
        <v>37</v>
      </c>
      <c r="G67" s="134" t="s">
        <v>1982</v>
      </c>
      <c r="H67" s="56" t="str">
        <f>Table1[[#This Row],[Tabela]]&amp;Table1[[#This Row],[Campo]]</f>
        <v>ENERGY_CERTIFICATE_EST_INPUTLOCALIDADE</v>
      </c>
      <c r="I67" s="2" t="s">
        <v>2340</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1182</v>
      </c>
      <c r="E68" s="2" t="s">
        <v>38</v>
      </c>
      <c r="F68" s="2" t="s">
        <v>37</v>
      </c>
      <c r="G68" s="134" t="s">
        <v>1983</v>
      </c>
      <c r="H68" s="56" t="str">
        <f>Table1[[#This Row],[Tabela]]&amp;Table1[[#This Row],[Campo]]</f>
        <v>ENERGY_CERTIFICATE_EST_INPUTTIPO_VIA</v>
      </c>
      <c r="I68" s="2" t="s">
        <v>2340</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1182</v>
      </c>
      <c r="E69" s="2" t="s">
        <v>38</v>
      </c>
      <c r="F69" s="2" t="s">
        <v>37</v>
      </c>
      <c r="G69" s="134" t="s">
        <v>1984</v>
      </c>
      <c r="H69" s="56" t="str">
        <f>Table1[[#This Row],[Tabela]]&amp;Table1[[#This Row],[Campo]]</f>
        <v>ENERGY_CERTIFICATE_EST_INPUTNOMBRE_TIPO_VIA</v>
      </c>
      <c r="I69" s="2" t="s">
        <v>2340</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1182</v>
      </c>
      <c r="E70" s="2" t="s">
        <v>38</v>
      </c>
      <c r="F70" s="2" t="s">
        <v>37</v>
      </c>
      <c r="G70" s="134" t="s">
        <v>1985</v>
      </c>
      <c r="H70" s="56" t="str">
        <f>Table1[[#This Row],[Tabela]]&amp;Table1[[#This Row],[Campo]]</f>
        <v>ENERGY_CERTIFICATE_EST_INPUTNOMBRE_VIA</v>
      </c>
      <c r="I70" s="2" t="s">
        <v>2340</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1182</v>
      </c>
      <c r="E71" s="2" t="s">
        <v>38</v>
      </c>
      <c r="F71" s="2" t="s">
        <v>37</v>
      </c>
      <c r="G71" s="134" t="s">
        <v>1986</v>
      </c>
      <c r="H71" s="56" t="str">
        <f>Table1[[#This Row],[Tabela]]&amp;Table1[[#This Row],[Campo]]</f>
        <v>ENERGY_CERTIFICATE_EST_INPUTNUMERO_VIA</v>
      </c>
      <c r="I71" s="2" t="s">
        <v>2340</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1182</v>
      </c>
      <c r="E72" s="2" t="s">
        <v>38</v>
      </c>
      <c r="F72" s="2" t="s">
        <v>37</v>
      </c>
      <c r="G72" s="134" t="s">
        <v>1987</v>
      </c>
      <c r="H72" s="56" t="str">
        <f>Table1[[#This Row],[Tabela]]&amp;Table1[[#This Row],[Campo]]</f>
        <v>ENERGY_CERTIFICATE_EST_INPUTLOTE</v>
      </c>
      <c r="I72" s="2" t="s">
        <v>2340</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1182</v>
      </c>
      <c r="E73" s="2" t="s">
        <v>38</v>
      </c>
      <c r="F73" s="2" t="s">
        <v>37</v>
      </c>
      <c r="G73" s="134" t="s">
        <v>1988</v>
      </c>
      <c r="H73" s="56" t="str">
        <f>Table1[[#This Row],[Tabela]]&amp;Table1[[#This Row],[Campo]]</f>
        <v>ENERGY_CERTIFICATE_EST_INPUTURBANIZACION</v>
      </c>
      <c r="I73" s="2" t="s">
        <v>2340</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1182</v>
      </c>
      <c r="E74" s="2" t="s">
        <v>38</v>
      </c>
      <c r="F74" s="2" t="s">
        <v>37</v>
      </c>
      <c r="G74" s="134" t="s">
        <v>1989</v>
      </c>
      <c r="H74" s="56" t="str">
        <f>Table1[[#This Row],[Tabela]]&amp;Table1[[#This Row],[Campo]]</f>
        <v>ENERGY_CERTIFICATE_EST_INPUTCAGLURB</v>
      </c>
      <c r="I74" s="2" t="s">
        <v>2340</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1182</v>
      </c>
      <c r="E75" s="2" t="s">
        <v>38</v>
      </c>
      <c r="F75" s="2" t="s">
        <v>37</v>
      </c>
      <c r="G75" s="134" t="s">
        <v>1990</v>
      </c>
      <c r="H75" s="56" t="str">
        <f>Table1[[#This Row],[Tabela]]&amp;Table1[[#This Row],[Campo]]</f>
        <v>ENERGY_CERTIFICATE_EST_INPUTRESTO_DIRECCION</v>
      </c>
      <c r="I75" s="2" t="s">
        <v>2340</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1182</v>
      </c>
      <c r="E76" s="2" t="s">
        <v>38</v>
      </c>
      <c r="F76" s="2" t="s">
        <v>37</v>
      </c>
      <c r="G76" s="134" t="s">
        <v>1991</v>
      </c>
      <c r="H76" s="56" t="str">
        <f>Table1[[#This Row],[Tabela]]&amp;Table1[[#This Row],[Campo]]</f>
        <v>ENERGY_CERTIFICATE_EST_INPUTLATITUDE</v>
      </c>
      <c r="I76" s="2" t="s">
        <v>2340</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1182</v>
      </c>
      <c r="E77" s="2" t="s">
        <v>38</v>
      </c>
      <c r="F77" s="2" t="s">
        <v>37</v>
      </c>
      <c r="G77" s="134" t="s">
        <v>1992</v>
      </c>
      <c r="H77" s="56" t="str">
        <f>Table1[[#This Row],[Tabela]]&amp;Table1[[#This Row],[Campo]]</f>
        <v>ENERGY_CERTIFICATE_EST_INPUTLONGITUDE</v>
      </c>
      <c r="I77" s="2" t="s">
        <v>2340</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1182</v>
      </c>
      <c r="E78" s="2" t="s">
        <v>38</v>
      </c>
      <c r="F78" s="2" t="s">
        <v>37</v>
      </c>
      <c r="G78" s="134" t="s">
        <v>1993</v>
      </c>
      <c r="H78" s="56" t="str">
        <f>Table1[[#This Row],[Tabela]]&amp;Table1[[#This Row],[Campo]]</f>
        <v>ENERGY_CERTIFICATE_EST_INPUTCODIGO_POSTAL</v>
      </c>
      <c r="I78" s="2" t="s">
        <v>2340</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1182</v>
      </c>
      <c r="E79" s="2" t="s">
        <v>38</v>
      </c>
      <c r="F79" s="2" t="s">
        <v>37</v>
      </c>
      <c r="G79" s="134" t="s">
        <v>1994</v>
      </c>
      <c r="H79" s="56" t="str">
        <f>Table1[[#This Row],[Tabela]]&amp;Table1[[#This Row],[Campo]]</f>
        <v>ENERGY_CERTIFICATE_EST_INPUTSUBCODIGO_POSTAL</v>
      </c>
      <c r="I79" s="2" t="s">
        <v>2340</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1182</v>
      </c>
      <c r="E80" s="2" t="s">
        <v>38</v>
      </c>
      <c r="F80" s="2" t="s">
        <v>37</v>
      </c>
      <c r="G80" s="134" t="s">
        <v>1995</v>
      </c>
      <c r="H80" s="56" t="str">
        <f>Table1[[#This Row],[Tabela]]&amp;Table1[[#This Row],[Campo]]</f>
        <v>ENERGY_CERTIFICATE_EST_INPUTASSUPERFICIE_UTIL</v>
      </c>
      <c r="I80" s="2" t="s">
        <v>2340</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1182</v>
      </c>
      <c r="E81" s="2" t="s">
        <v>38</v>
      </c>
      <c r="F81" s="2" t="s">
        <v>37</v>
      </c>
      <c r="G81" s="134" t="s">
        <v>1996</v>
      </c>
      <c r="H81" s="56" t="str">
        <f>Table1[[#This Row],[Tabela]]&amp;Table1[[#This Row],[Campo]]</f>
        <v>ENERGY_CERTIFICATE_EST_INPUTANIO_CONSTRUCCION</v>
      </c>
      <c r="I81" s="2" t="s">
        <v>2340</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2340</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1182</v>
      </c>
      <c r="E83" s="2" t="s">
        <v>38</v>
      </c>
      <c r="F83" s="2" t="s">
        <v>37</v>
      </c>
      <c r="G83" s="134" t="s">
        <v>1998</v>
      </c>
      <c r="H83" s="56" t="str">
        <f>Table1[[#This Row],[Tabela]]&amp;Table1[[#This Row],[Campo]]</f>
        <v>ENERGY_CERTIFICATE_EST_INPUTPISO_APARTAMENTO</v>
      </c>
      <c r="I83" s="2" t="s">
        <v>2340</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1182</v>
      </c>
      <c r="E84" s="2" t="s">
        <v>38</v>
      </c>
      <c r="F84" s="2" t="s">
        <v>37</v>
      </c>
      <c r="G84" s="134" t="s">
        <v>1999</v>
      </c>
      <c r="H84" s="56" t="str">
        <f>Table1[[#This Row],[Tabela]]&amp;Table1[[#This Row],[Campo]]</f>
        <v>ENERGY_CERTIFICATE_EST_INPUTCASA_UNIFAMILIAR</v>
      </c>
      <c r="I84" s="2" t="s">
        <v>2340</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2340</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1182</v>
      </c>
      <c r="E86" s="2" t="s">
        <v>38</v>
      </c>
      <c r="F86" s="2" t="s">
        <v>37</v>
      </c>
      <c r="G86" s="134" t="s">
        <v>2001</v>
      </c>
      <c r="H86" s="56" t="str">
        <f>Table1[[#This Row],[Tabela]]&amp;Table1[[#This Row],[Campo]]</f>
        <v>ENERGY_CERTIFICATE_EST_INPUTNOME_CONSERVATORIA</v>
      </c>
      <c r="I86" s="2" t="s">
        <v>2340</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1182</v>
      </c>
      <c r="E87" s="2" t="s">
        <v>38</v>
      </c>
      <c r="F87" s="2" t="s">
        <v>37</v>
      </c>
      <c r="G87" s="134" t="s">
        <v>2002</v>
      </c>
      <c r="H87" s="56" t="str">
        <f>Table1[[#This Row],[Tabela]]&amp;Table1[[#This Row],[Campo]]</f>
        <v>ENERGY_CERTIFICATE_EST_INPUTCOD_CONSERVATORIA</v>
      </c>
      <c r="I87" s="2" t="s">
        <v>2340</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2340</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1182</v>
      </c>
      <c r="E89" s="2" t="s">
        <v>38</v>
      </c>
      <c r="F89" s="2" t="s">
        <v>37</v>
      </c>
      <c r="G89" s="134" t="s">
        <v>2004</v>
      </c>
      <c r="H89" s="56" t="str">
        <f>Table1[[#This Row],[Tabela]]&amp;Table1[[#This Row],[Campo]]</f>
        <v>ENERGY_CERTIFICATE_EST_INPUTART_MATRICIAIS</v>
      </c>
      <c r="I89" s="2" t="s">
        <v>2340</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1182</v>
      </c>
      <c r="E90" s="2" t="s">
        <v>38</v>
      </c>
      <c r="F90" s="2" t="s">
        <v>37</v>
      </c>
      <c r="G90" s="134" t="s">
        <v>2005</v>
      </c>
      <c r="H90" s="56" t="str">
        <f>Table1[[#This Row],[Tabela]]&amp;Table1[[#This Row],[Campo]]</f>
        <v>ENERGY_CERTIFICATE_EST_INPUTFRACCAO_AUTONOMA</v>
      </c>
      <c r="I90" s="2" t="s">
        <v>2340</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1182</v>
      </c>
      <c r="E91" s="2" t="s">
        <v>38</v>
      </c>
      <c r="F91" s="2" t="s">
        <v>37</v>
      </c>
      <c r="G91" s="134" t="s">
        <v>2006</v>
      </c>
      <c r="H91" s="56" t="str">
        <f>Table1[[#This Row],[Tabela]]&amp;Table1[[#This Row],[Campo]]</f>
        <v>ENERGY_CERTIFICATE_EST_INPUTFINALIDADE_BEM</v>
      </c>
      <c r="I91" s="2" t="s">
        <v>2340</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1182</v>
      </c>
      <c r="E92" s="2" t="s">
        <v>38</v>
      </c>
      <c r="F92" s="2" t="s">
        <v>37</v>
      </c>
      <c r="G92" s="134" t="s">
        <v>2007</v>
      </c>
      <c r="H92" s="56" t="str">
        <f>Table1[[#This Row],[Tabela]]&amp;Table1[[#This Row],[Campo]]</f>
        <v>ENERGY_CERTIFICATE_EST_INPUTCLASS_GPT31</v>
      </c>
      <c r="I92" s="2" t="s">
        <v>2340</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1182</v>
      </c>
      <c r="E93" s="2" t="s">
        <v>38</v>
      </c>
      <c r="F93" s="2" t="s">
        <v>37</v>
      </c>
      <c r="G93" s="134" t="s">
        <v>2008</v>
      </c>
      <c r="H93" s="56" t="str">
        <f>Table1[[#This Row],[Tabela]]&amp;Table1[[#This Row],[Campo]]</f>
        <v>ENERGY_CERTIFICATE_EST_INPUTCLASS_STCLIM</v>
      </c>
      <c r="I93" s="2" t="s">
        <v>2340</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1182</v>
      </c>
      <c r="E94" s="2" t="s">
        <v>38</v>
      </c>
      <c r="F94" s="2" t="s">
        <v>37</v>
      </c>
      <c r="G94" s="134" t="s">
        <v>2009</v>
      </c>
      <c r="H94" s="56" t="str">
        <f>Table1[[#This Row],[Tabela]]&amp;Table1[[#This Row],[Campo]]</f>
        <v>ENERGY_CERTIFICATE_EST_INPUTCONF_STCLIM</v>
      </c>
      <c r="I94" s="2" t="s">
        <v>2340</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1182</v>
      </c>
      <c r="E95" s="2" t="s">
        <v>38</v>
      </c>
      <c r="F95" s="2" t="s">
        <v>37</v>
      </c>
      <c r="G95" s="134" t="s">
        <v>2010</v>
      </c>
      <c r="H95" s="56" t="str">
        <f>Table1[[#This Row],[Tabela]]&amp;Table1[[#This Row],[Campo]]</f>
        <v>ENERGY_CERTIFICATE_EST_INPUTCLASSE_ENERGETICA</v>
      </c>
      <c r="I95" s="2" t="s">
        <v>2340</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1182</v>
      </c>
      <c r="E96" s="2" t="s">
        <v>38</v>
      </c>
      <c r="F96" s="2" t="s">
        <v>37</v>
      </c>
      <c r="G96" s="134" t="s">
        <v>2011</v>
      </c>
      <c r="H96" s="56" t="str">
        <f>Table1[[#This Row],[Tabela]]&amp;Table1[[#This Row],[Campo]]</f>
        <v>ENERGY_CERTIFICATE_EST_INPUTFIABILIDAD</v>
      </c>
      <c r="I96" s="2" t="s">
        <v>2340</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1182</v>
      </c>
      <c r="E97" s="2" t="s">
        <v>38</v>
      </c>
      <c r="F97" s="2" t="s">
        <v>37</v>
      </c>
      <c r="G97" s="134" t="s">
        <v>2012</v>
      </c>
      <c r="H97" s="56" t="str">
        <f>Table1[[#This Row],[Tabela]]&amp;Table1[[#This Row],[Campo]]</f>
        <v>ENERGY_CERTIFICATE_EST_INPUTEMISSIONES</v>
      </c>
      <c r="I97" s="2" t="s">
        <v>2340</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50000000000001" hidden="1" customHeight="1">
      <c r="B98" s="2" t="s">
        <v>26</v>
      </c>
      <c r="C98" s="2" t="s">
        <v>34</v>
      </c>
      <c r="D98" s="2" t="s">
        <v>1182</v>
      </c>
      <c r="E98" s="2" t="s">
        <v>38</v>
      </c>
      <c r="F98" s="2" t="s">
        <v>37</v>
      </c>
      <c r="G98" s="134" t="s">
        <v>2013</v>
      </c>
      <c r="H98" s="56" t="str">
        <f>Table1[[#This Row],[Tabela]]&amp;Table1[[#This Row],[Campo]]</f>
        <v>ENERGY_CERTIFICATE_EST_INPUTCONSUMOS</v>
      </c>
      <c r="I98" s="2" t="s">
        <v>2340</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50000000000001" hidden="1" customHeight="1">
      <c r="B99" s="2" t="s">
        <v>26</v>
      </c>
      <c r="C99" s="2" t="s">
        <v>34</v>
      </c>
      <c r="D99" s="2" t="s">
        <v>1182</v>
      </c>
      <c r="E99" s="2" t="s">
        <v>38</v>
      </c>
      <c r="F99" s="2" t="s">
        <v>37</v>
      </c>
      <c r="G99" s="134" t="s">
        <v>2014</v>
      </c>
      <c r="H99" s="56" t="str">
        <f>Table1[[#This Row],[Tabela]]&amp;Table1[[#This Row],[Campo]]</f>
        <v>ENERGY_CERTIFICATE_EST_INPUTDATA_ENVIO</v>
      </c>
      <c r="I99" s="2" t="s">
        <v>2340</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50000000000001"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50000000000001"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50000000000001"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2340</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2340</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2340</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50000000000001"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50000000000001"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2340</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2340</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2340</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2340</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2340</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2340</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2340</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2340</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2340</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50000000000001"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2"/>
    </row>
    <row r="414" spans="2:24" ht="17.850000000000001"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2"/>
    </row>
    <row r="415" spans="2:24" ht="17.850000000000001"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2"/>
    </row>
    <row r="416" spans="2:24" ht="69.599999999999994"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50000000000001"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50000000000001"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50000000000001"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50000000000001"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50000000000001"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50000000000001"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50000000000001"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50000000000001"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50000000000001"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50000000000001"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50000000000001"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50000000000001"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50000000000001"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50000000000001"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50000000000001"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50000000000001"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50000000000001"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50000000000001"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50000000000001"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599999999999994"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50000000000001"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50000000000001"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50000000000001"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50000000000001"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50000000000001"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50000000000001"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50000000000001"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50000000000001"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50000000000001"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50000000000001"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50000000000001"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50000000000001"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50000000000001"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50000000000001"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50000000000001"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50000000000001"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50000000000001"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50000000000001"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50000000000001"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50000000000001"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50000000000001"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50000000000001"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50000000000001"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599999999999994"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50000000000001"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50000000000001"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50000000000001"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50000000000001"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50000000000001"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50000000000001"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50000000000001"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50000000000001"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50000000000001"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50000000000001"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50000000000001"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50000000000001"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50000000000001"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50000000000001"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50000000000001"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50000000000001"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50000000000001"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50000000000001"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50000000000001"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50000000000001"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50000000000001"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50000000000001"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50000000000001"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50000000000001"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50000000000001"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2340</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2"/>
    </row>
    <row r="575" spans="2:24" ht="17.850000000000001" hidden="1" customHeight="1">
      <c r="B575" s="2" t="s">
        <v>26</v>
      </c>
      <c r="C575" s="2" t="s">
        <v>310</v>
      </c>
      <c r="D575" s="2" t="s">
        <v>312</v>
      </c>
      <c r="E575" s="2" t="s">
        <v>38</v>
      </c>
      <c r="F575" s="2" t="s">
        <v>311</v>
      </c>
      <c r="G575" s="2" t="s">
        <v>282</v>
      </c>
      <c r="H575" s="56" t="str">
        <f>Table1[[#This Row],[Tabela]]&amp;Table1[[#This Row],[Campo]]</f>
        <v>modesg_out_bens_imoveisflg_rsc_fsc_agd</v>
      </c>
      <c r="I575" s="2" t="s">
        <v>2340</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2"/>
    </row>
    <row r="576" spans="2:24" ht="17.850000000000001" hidden="1" customHeight="1">
      <c r="B576" s="2" t="s">
        <v>26</v>
      </c>
      <c r="C576" s="2" t="s">
        <v>310</v>
      </c>
      <c r="D576" s="2" t="s">
        <v>312</v>
      </c>
      <c r="E576" s="2" t="s">
        <v>38</v>
      </c>
      <c r="F576" s="2" t="s">
        <v>311</v>
      </c>
      <c r="G576" s="2" t="s">
        <v>282</v>
      </c>
      <c r="H576" s="56" t="str">
        <f>Table1[[#This Row],[Tabela]]&amp;Table1[[#This Row],[Campo]]</f>
        <v>modesg_out_bens_imoveisflg_rsc_fsc_agd</v>
      </c>
      <c r="I576" s="2" t="s">
        <v>2340</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2340</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2"/>
    </row>
    <row r="578" spans="2:24" ht="17.850000000000001" hidden="1" customHeight="1">
      <c r="B578" s="2" t="s">
        <v>26</v>
      </c>
      <c r="C578" s="2" t="s">
        <v>310</v>
      </c>
      <c r="D578" s="2" t="s">
        <v>312</v>
      </c>
      <c r="E578" s="2" t="s">
        <v>38</v>
      </c>
      <c r="F578" s="2" t="s">
        <v>311</v>
      </c>
      <c r="G578" s="2" t="s">
        <v>283</v>
      </c>
      <c r="H578" s="56" t="str">
        <f>Table1[[#This Row],[Tabela]]&amp;Table1[[#This Row],[Campo]]</f>
        <v>modesg_out_bens_imoveisflg_rsc_fsc_crnc</v>
      </c>
      <c r="I578" s="2" t="s">
        <v>2340</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2"/>
    </row>
    <row r="579" spans="2:24" ht="17.850000000000001" hidden="1" customHeight="1">
      <c r="B579" s="2" t="s">
        <v>26</v>
      </c>
      <c r="C579" s="2" t="s">
        <v>310</v>
      </c>
      <c r="D579" s="2" t="s">
        <v>312</v>
      </c>
      <c r="E579" s="2" t="s">
        <v>38</v>
      </c>
      <c r="F579" s="2" t="s">
        <v>311</v>
      </c>
      <c r="G579" s="2" t="s">
        <v>283</v>
      </c>
      <c r="H579" s="56" t="str">
        <f>Table1[[#This Row],[Tabela]]&amp;Table1[[#This Row],[Campo]]</f>
        <v>modesg_out_bens_imoveisflg_rsc_fsc_crnc</v>
      </c>
      <c r="I579" s="2" t="s">
        <v>2340</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2340</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2"/>
    </row>
    <row r="581" spans="2:24" ht="52.35"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2340</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2"/>
    </row>
    <row r="582" spans="2:24" ht="52.35"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2340</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2340</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2"/>
    </row>
    <row r="584" spans="2:24" ht="52.35"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2340</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2"/>
    </row>
    <row r="585" spans="2:24" ht="52.35"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2340</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35"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35"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35"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35"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50000000000001"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50000000000001"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599999999999994"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599999999999994"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599999999999994"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50000000000001"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50000000000001"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35"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35"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35"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35"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00000000000001"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50000000000001"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50000000000001"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50000000000001"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50000000000001"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50000000000001"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50000000000001"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50000000000001"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50000000000001"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50000000000001"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50000000000001"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50000000000001"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50000000000001"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50000000000001"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50000000000001"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50000000000001"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50000000000001"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1847</v>
      </c>
      <c r="J659" s="44">
        <f>VLOOKUP(Table1[[#This Row],[Status]],Auxiliar!$B$16:$C$24,2,0)</f>
        <v>2</v>
      </c>
      <c r="K659" s="20"/>
      <c r="L659" s="248"/>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1847</v>
      </c>
      <c r="J660" s="44">
        <f>VLOOKUP(Table1[[#This Row],[Status]],Auxiliar!$B$16:$C$24,2,0)</f>
        <v>2</v>
      </c>
      <c r="K660" s="20"/>
      <c r="L660" s="248"/>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1847</v>
      </c>
      <c r="J661" s="44">
        <f>VLOOKUP(Table1[[#This Row],[Status]],Auxiliar!$B$16:$C$24,2,0)</f>
        <v>2</v>
      </c>
      <c r="K661" s="20"/>
      <c r="L661" s="248"/>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1847</v>
      </c>
      <c r="J662" s="44">
        <f>VLOOKUP(Table1[[#This Row],[Status]],Auxiliar!$B$16:$C$24,2,0)</f>
        <v>2</v>
      </c>
      <c r="K662" s="20"/>
      <c r="L662" s="248"/>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1847</v>
      </c>
      <c r="J663" s="44">
        <f>VLOOKUP(Table1[[#This Row],[Status]],Auxiliar!$B$16:$C$24,2,0)</f>
        <v>2</v>
      </c>
      <c r="K663" s="20"/>
      <c r="L663" s="248"/>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1847</v>
      </c>
      <c r="J664" s="44">
        <f>VLOOKUP(Table1[[#This Row],[Status]],Auxiliar!$B$16:$C$24,2,0)</f>
        <v>2</v>
      </c>
      <c r="K664" s="20"/>
      <c r="L664" s="248"/>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1847</v>
      </c>
      <c r="J665" s="44">
        <f>VLOOKUP(Table1[[#This Row],[Status]],Auxiliar!$B$16:$C$24,2,0)</f>
        <v>2</v>
      </c>
      <c r="K665" s="20"/>
      <c r="L665" s="248"/>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1847</v>
      </c>
      <c r="J666" s="44">
        <f>VLOOKUP(Table1[[#This Row],[Status]],Auxiliar!$B$16:$C$24,2,0)</f>
        <v>2</v>
      </c>
      <c r="K666" s="20"/>
      <c r="L666" s="248"/>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1847</v>
      </c>
      <c r="J667" s="44">
        <f>VLOOKUP(Table1[[#This Row],[Status]],Auxiliar!$B$16:$C$24,2,0)</f>
        <v>2</v>
      </c>
      <c r="K667" s="20"/>
      <c r="L667" s="248"/>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1847</v>
      </c>
      <c r="J668" s="44">
        <f>VLOOKUP(Table1[[#This Row],[Status]],Auxiliar!$B$16:$C$24,2,0)</f>
        <v>2</v>
      </c>
      <c r="K668" s="20"/>
      <c r="L668" s="248"/>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1847</v>
      </c>
      <c r="J669" s="44">
        <f>VLOOKUP(Table1[[#This Row],[Status]],Auxiliar!$B$16:$C$24,2,0)</f>
        <v>2</v>
      </c>
      <c r="K669" s="20"/>
      <c r="L669" s="248"/>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1847</v>
      </c>
      <c r="J670" s="44">
        <f>VLOOKUP(Table1[[#This Row],[Status]],Auxiliar!$B$16:$C$24,2,0)</f>
        <v>2</v>
      </c>
      <c r="K670" s="20"/>
      <c r="L670" s="248"/>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1847</v>
      </c>
      <c r="J671" s="44">
        <f>VLOOKUP(Table1[[#This Row],[Status]],Auxiliar!$B$16:$C$24,2,0)</f>
        <v>2</v>
      </c>
      <c r="K671" s="20"/>
      <c r="L671" s="248"/>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1847</v>
      </c>
      <c r="J672" s="44">
        <f>VLOOKUP(Table1[[#This Row],[Status]],Auxiliar!$B$16:$C$24,2,0)</f>
        <v>2</v>
      </c>
      <c r="K672" s="20"/>
      <c r="L672" s="248"/>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273</v>
      </c>
      <c r="H673" s="56" t="str">
        <f>Table1[[#This Row],[Tabela]]&amp;Table1[[#This Row],[Campo]]</f>
        <v>modesg_out_empr_info_nfince_trnvr_ttl_elgbl</v>
      </c>
      <c r="I673" s="2" t="s">
        <v>1847</v>
      </c>
      <c r="J673" s="44">
        <f>VLOOKUP(Table1[[#This Row],[Status]],Auxiliar!$B$16:$C$24,2,0)</f>
        <v>2</v>
      </c>
      <c r="K673" s="20"/>
      <c r="L673" s="248"/>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1847</v>
      </c>
      <c r="J674" s="44">
        <f>VLOOKUP(Table1[[#This Row],[Status]],Auxiliar!$B$16:$C$24,2,0)</f>
        <v>2</v>
      </c>
      <c r="K674" s="20"/>
      <c r="L674" s="248"/>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1847</v>
      </c>
      <c r="J675" s="44">
        <f>VLOOKUP(Table1[[#This Row],[Status]],Auxiliar!$B$16:$C$24,2,0)</f>
        <v>2</v>
      </c>
      <c r="K675" s="20"/>
      <c r="L675" s="248"/>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276</v>
      </c>
      <c r="H676" s="56" t="str">
        <f>Table1[[#This Row],[Tabela]]&amp;Table1[[#This Row],[Campo]]</f>
        <v>modesg_out_empr_info_nfince_capex_ttl_elgbl</v>
      </c>
      <c r="I676" s="2" t="s">
        <v>1847</v>
      </c>
      <c r="J676" s="44">
        <f>VLOOKUP(Table1[[#This Row],[Status]],Auxiliar!$B$16:$C$24,2,0)</f>
        <v>2</v>
      </c>
      <c r="K676" s="20"/>
      <c r="L676" s="248"/>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1847</v>
      </c>
      <c r="J677" s="44">
        <f>VLOOKUP(Table1[[#This Row],[Status]],Auxiliar!$B$16:$C$24,2,0)</f>
        <v>2</v>
      </c>
      <c r="K677" s="20"/>
      <c r="L677" s="248"/>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50000000000001"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1847</v>
      </c>
      <c r="J678" s="378">
        <f>VLOOKUP(Table1[[#This Row],[Status]],Auxiliar!$B$16:$C$24,2,0)</f>
        <v>2</v>
      </c>
      <c r="K678" s="379"/>
      <c r="L678" s="248"/>
      <c r="M678" s="20"/>
      <c r="N678" s="47">
        <v>45695</v>
      </c>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2340</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50000000000001" hidden="1" customHeight="1">
      <c r="B680" s="2" t="s">
        <v>26</v>
      </c>
      <c r="C680" s="2" t="s">
        <v>310</v>
      </c>
      <c r="D680" s="2" t="s">
        <v>326</v>
      </c>
      <c r="E680" s="2" t="s">
        <v>38</v>
      </c>
      <c r="F680" s="2" t="s">
        <v>325</v>
      </c>
      <c r="G680" s="2" t="s">
        <v>281</v>
      </c>
      <c r="H680" s="56" t="str">
        <f>Table1[[#This Row],[Tabela]]&amp;Table1[[#This Row],[Campo]]</f>
        <v>modesg_out_empr_info_nfincod_nace_esg</v>
      </c>
      <c r="I680" s="2" t="s">
        <v>2340</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50000000000001" hidden="1" customHeight="1">
      <c r="B681" s="2" t="s">
        <v>26</v>
      </c>
      <c r="C681" s="2" t="s">
        <v>310</v>
      </c>
      <c r="D681" s="2" t="s">
        <v>326</v>
      </c>
      <c r="E681" s="2" t="s">
        <v>38</v>
      </c>
      <c r="F681" s="2" t="s">
        <v>325</v>
      </c>
      <c r="G681" s="2" t="s">
        <v>281</v>
      </c>
      <c r="H681" s="56" t="str">
        <f>Table1[[#This Row],[Tabela]]&amp;Table1[[#This Row],[Campo]]</f>
        <v>modesg_out_empr_info_nfincod_nace_esg</v>
      </c>
      <c r="I681" s="2" t="s">
        <v>2340</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50000000000001"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50000000000001"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2340</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2"/>
    </row>
    <row r="689" spans="2:24" ht="17.850000000000001" hidden="1" customHeight="1">
      <c r="B689" s="2" t="s">
        <v>26</v>
      </c>
      <c r="C689" s="2" t="s">
        <v>310</v>
      </c>
      <c r="D689" s="2" t="s">
        <v>326</v>
      </c>
      <c r="E689" s="2" t="s">
        <v>38</v>
      </c>
      <c r="F689" s="2" t="s">
        <v>325</v>
      </c>
      <c r="G689" s="2" t="s">
        <v>282</v>
      </c>
      <c r="H689" s="56" t="str">
        <f>Table1[[#This Row],[Tabela]]&amp;Table1[[#This Row],[Campo]]</f>
        <v>modesg_out_empr_info_nfinflg_rsc_fsc_agd</v>
      </c>
      <c r="I689" s="2" t="s">
        <v>2340</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2"/>
    </row>
    <row r="690" spans="2:24" ht="17.850000000000001" hidden="1" customHeight="1">
      <c r="B690" s="2" t="s">
        <v>26</v>
      </c>
      <c r="C690" s="2" t="s">
        <v>310</v>
      </c>
      <c r="D690" s="2" t="s">
        <v>326</v>
      </c>
      <c r="E690" s="2" t="s">
        <v>38</v>
      </c>
      <c r="F690" s="2" t="s">
        <v>325</v>
      </c>
      <c r="G690" s="2" t="s">
        <v>282</v>
      </c>
      <c r="H690" s="56" t="str">
        <f>Table1[[#This Row],[Tabela]]&amp;Table1[[#This Row],[Campo]]</f>
        <v>modesg_out_empr_info_nfinflg_rsc_fsc_agd</v>
      </c>
      <c r="I690" s="2" t="s">
        <v>2340</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2340</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2"/>
    </row>
    <row r="692" spans="2:24" ht="17.850000000000001" hidden="1" customHeight="1">
      <c r="B692" s="2" t="s">
        <v>26</v>
      </c>
      <c r="C692" s="2" t="s">
        <v>310</v>
      </c>
      <c r="D692" s="2" t="s">
        <v>326</v>
      </c>
      <c r="E692" s="2" t="s">
        <v>38</v>
      </c>
      <c r="F692" s="2" t="s">
        <v>325</v>
      </c>
      <c r="G692" s="2" t="s">
        <v>283</v>
      </c>
      <c r="H692" s="56" t="str">
        <f>Table1[[#This Row],[Tabela]]&amp;Table1[[#This Row],[Campo]]</f>
        <v>modesg_out_empr_info_nfinflg_rsc_fsc_crnc</v>
      </c>
      <c r="I692" s="2" t="s">
        <v>2340</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283</v>
      </c>
      <c r="H693" s="56" t="str">
        <f>Table1[[#This Row],[Tabela]]&amp;Table1[[#This Row],[Campo]]</f>
        <v>modesg_out_empr_info_nfinflg_rsc_fsc_crnc</v>
      </c>
      <c r="I693" s="2" t="s">
        <v>2340</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50000000000001"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50000000000001"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50000000000001"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50000000000001"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2340</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2"/>
    </row>
    <row r="704" spans="2:24" ht="17.850000000000001"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2340</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2"/>
    </row>
    <row r="705" spans="2:24" ht="17.850000000000001"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2340</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2340</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2"/>
    </row>
    <row r="707" spans="2:24" ht="17.850000000000001"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2340</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2340</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1847</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2"/>
    </row>
    <row r="710" spans="2:24" ht="17.850000000000001" hidden="1" customHeight="1">
      <c r="B710" s="2" t="s">
        <v>26</v>
      </c>
      <c r="C710" s="2" t="s">
        <v>310</v>
      </c>
      <c r="D710" s="2" t="s">
        <v>326</v>
      </c>
      <c r="E710" s="2" t="s">
        <v>38</v>
      </c>
      <c r="F710" s="2" t="s">
        <v>325</v>
      </c>
      <c r="G710" s="2" t="s">
        <v>319</v>
      </c>
      <c r="H710" s="56" t="str">
        <f>Table1[[#This Row],[Tabela]]&amp;Table1[[#This Row],[Campo]]</f>
        <v>modesg_out_empr_info_nfinorigem_scp1_emss</v>
      </c>
      <c r="I710" s="2" t="s">
        <v>1847</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2"/>
    </row>
    <row r="711" spans="2:24" ht="17.850000000000001" hidden="1" customHeight="1">
      <c r="B711" s="2" t="s">
        <v>26</v>
      </c>
      <c r="C711" s="2" t="s">
        <v>310</v>
      </c>
      <c r="D711" s="2" t="s">
        <v>326</v>
      </c>
      <c r="E711" s="2" t="s">
        <v>38</v>
      </c>
      <c r="F711" s="2" t="s">
        <v>325</v>
      </c>
      <c r="G711" s="2" t="s">
        <v>319</v>
      </c>
      <c r="H711" s="56" t="str">
        <f>Table1[[#This Row],[Tabela]]&amp;Table1[[#This Row],[Campo]]</f>
        <v>modesg_out_empr_info_nfinorigem_scp1_emss</v>
      </c>
      <c r="I711" s="2" t="s">
        <v>1847</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1847</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2"/>
    </row>
    <row r="713" spans="2:24" ht="17.850000000000001" hidden="1" customHeight="1">
      <c r="B713" s="2" t="s">
        <v>26</v>
      </c>
      <c r="C713" s="2" t="s">
        <v>310</v>
      </c>
      <c r="D713" s="2" t="s">
        <v>326</v>
      </c>
      <c r="E713" s="2" t="s">
        <v>38</v>
      </c>
      <c r="F713" s="2" t="s">
        <v>325</v>
      </c>
      <c r="G713" s="2" t="s">
        <v>320</v>
      </c>
      <c r="H713" s="56" t="str">
        <f>Table1[[#This Row],[Tabela]]&amp;Table1[[#This Row],[Campo]]</f>
        <v>modesg_out_empr_info_nfinorigem_scp2_emss</v>
      </c>
      <c r="I713" s="2" t="s">
        <v>1847</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2"/>
    </row>
    <row r="714" spans="2:24" ht="17.850000000000001" hidden="1" customHeight="1">
      <c r="B714" s="2" t="s">
        <v>26</v>
      </c>
      <c r="C714" s="2" t="s">
        <v>310</v>
      </c>
      <c r="D714" s="2" t="s">
        <v>326</v>
      </c>
      <c r="E714" s="2" t="s">
        <v>38</v>
      </c>
      <c r="F714" s="2" t="s">
        <v>325</v>
      </c>
      <c r="G714" s="2" t="s">
        <v>320</v>
      </c>
      <c r="H714" s="56" t="str">
        <f>Table1[[#This Row],[Tabela]]&amp;Table1[[#This Row],[Campo]]</f>
        <v>modesg_out_empr_info_nfinorigem_scp2_emss</v>
      </c>
      <c r="I714" s="2" t="s">
        <v>1847</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1847</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2"/>
    </row>
    <row r="716" spans="2:24" ht="17.850000000000001" hidden="1" customHeight="1">
      <c r="B716" s="2" t="s">
        <v>26</v>
      </c>
      <c r="C716" s="2" t="s">
        <v>310</v>
      </c>
      <c r="D716" s="2" t="s">
        <v>326</v>
      </c>
      <c r="E716" s="2" t="s">
        <v>38</v>
      </c>
      <c r="F716" s="2" t="s">
        <v>325</v>
      </c>
      <c r="G716" s="2" t="s">
        <v>321</v>
      </c>
      <c r="H716" s="56" t="str">
        <f>Table1[[#This Row],[Tabela]]&amp;Table1[[#This Row],[Campo]]</f>
        <v>modesg_out_empr_info_nfinorigem_scp3_emss</v>
      </c>
      <c r="I716" s="2" t="s">
        <v>1847</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2"/>
    </row>
    <row r="717" spans="2:24" ht="17.850000000000001" hidden="1" customHeight="1">
      <c r="B717" s="2" t="s">
        <v>26</v>
      </c>
      <c r="C717" s="2" t="s">
        <v>310</v>
      </c>
      <c r="D717" s="2" t="s">
        <v>326</v>
      </c>
      <c r="E717" s="2" t="s">
        <v>38</v>
      </c>
      <c r="F717" s="2" t="s">
        <v>325</v>
      </c>
      <c r="G717" s="2" t="s">
        <v>321</v>
      </c>
      <c r="H717" s="56" t="str">
        <f>Table1[[#This Row],[Tabela]]&amp;Table1[[#This Row],[Campo]]</f>
        <v>modesg_out_empr_info_nfinorigem_scp3_emss</v>
      </c>
      <c r="I717" s="2" t="s">
        <v>1847</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50000000000001"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50000000000001"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1847</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2"/>
    </row>
    <row r="722" spans="2:24" ht="17.850000000000001" hidden="1" customHeight="1">
      <c r="B722" s="2" t="s">
        <v>26</v>
      </c>
      <c r="C722" s="2" t="s">
        <v>310</v>
      </c>
      <c r="D722" s="2" t="s">
        <v>326</v>
      </c>
      <c r="E722" s="2" t="s">
        <v>38</v>
      </c>
      <c r="F722" s="2" t="s">
        <v>325</v>
      </c>
      <c r="G722" s="2" t="s">
        <v>285</v>
      </c>
      <c r="H722" s="56" t="str">
        <f>Table1[[#This Row],[Tabela]]&amp;Table1[[#This Row],[Campo]]</f>
        <v>modesg_out_empr_info_nfinscp1_emss</v>
      </c>
      <c r="I722" s="2" t="s">
        <v>1847</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2"/>
    </row>
    <row r="723" spans="2:24" ht="17.850000000000001" hidden="1" customHeight="1">
      <c r="B723" s="2" t="s">
        <v>26</v>
      </c>
      <c r="C723" s="2" t="s">
        <v>310</v>
      </c>
      <c r="D723" s="2" t="s">
        <v>326</v>
      </c>
      <c r="E723" s="2" t="s">
        <v>38</v>
      </c>
      <c r="F723" s="2" t="s">
        <v>325</v>
      </c>
      <c r="G723" s="2" t="s">
        <v>285</v>
      </c>
      <c r="H723" s="56" t="str">
        <f>Table1[[#This Row],[Tabela]]&amp;Table1[[#This Row],[Campo]]</f>
        <v>modesg_out_empr_info_nfinscp1_emss</v>
      </c>
      <c r="I723" s="2" t="s">
        <v>1847</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1847</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2"/>
    </row>
    <row r="725" spans="2:24" ht="17.850000000000001" hidden="1" customHeight="1">
      <c r="B725" s="2" t="s">
        <v>26</v>
      </c>
      <c r="C725" s="2" t="s">
        <v>310</v>
      </c>
      <c r="D725" s="2" t="s">
        <v>326</v>
      </c>
      <c r="E725" s="2" t="s">
        <v>38</v>
      </c>
      <c r="F725" s="2" t="s">
        <v>325</v>
      </c>
      <c r="G725" s="2" t="s">
        <v>286</v>
      </c>
      <c r="H725" s="56" t="str">
        <f>Table1[[#This Row],[Tabela]]&amp;Table1[[#This Row],[Campo]]</f>
        <v>modesg_out_empr_info_nfinscp2_emss</v>
      </c>
      <c r="I725" s="2" t="s">
        <v>1847</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2"/>
    </row>
    <row r="726" spans="2:24" ht="17.850000000000001" hidden="1" customHeight="1">
      <c r="B726" s="2" t="s">
        <v>26</v>
      </c>
      <c r="C726" s="2" t="s">
        <v>310</v>
      </c>
      <c r="D726" s="2" t="s">
        <v>326</v>
      </c>
      <c r="E726" s="2" t="s">
        <v>38</v>
      </c>
      <c r="F726" s="2" t="s">
        <v>325</v>
      </c>
      <c r="G726" s="2" t="s">
        <v>286</v>
      </c>
      <c r="H726" s="56" t="str">
        <f>Table1[[#This Row],[Tabela]]&amp;Table1[[#This Row],[Campo]]</f>
        <v>modesg_out_empr_info_nfinscp2_emss</v>
      </c>
      <c r="I726" s="2" t="s">
        <v>1847</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1847</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2"/>
    </row>
    <row r="728" spans="2:24" ht="17.850000000000001" hidden="1" customHeight="1">
      <c r="B728" s="2" t="s">
        <v>26</v>
      </c>
      <c r="C728" s="2" t="s">
        <v>310</v>
      </c>
      <c r="D728" s="2" t="s">
        <v>326</v>
      </c>
      <c r="E728" s="2" t="s">
        <v>38</v>
      </c>
      <c r="F728" s="2" t="s">
        <v>325</v>
      </c>
      <c r="G728" s="2" t="s">
        <v>287</v>
      </c>
      <c r="H728" s="56" t="str">
        <f>Table1[[#This Row],[Tabela]]&amp;Table1[[#This Row],[Campo]]</f>
        <v>modesg_out_empr_info_nfinscp3_emss</v>
      </c>
      <c r="I728" s="2" t="s">
        <v>1847</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287</v>
      </c>
      <c r="H729" s="56" t="str">
        <f>Table1[[#This Row],[Tabela]]&amp;Table1[[#This Row],[Campo]]</f>
        <v>modesg_out_empr_info_nfinscp3_emss</v>
      </c>
      <c r="I729" s="2" t="s">
        <v>1847</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50000000000001"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50000000000001"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85"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50000000000001"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50000000000001"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50000000000001"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50000000000001"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50000000000001"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50000000000001"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50000000000001"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50000000000001"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50000000000001"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50000000000001"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50000000000001"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50000000000001"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599999999999994"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599999999999994"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599999999999994"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599999999999994"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50000000000001"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50000000000001"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50000000000001"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50000000000001"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customHeight="1">
      <c r="B779" s="2" t="s">
        <v>26</v>
      </c>
      <c r="C779" s="2" t="s">
        <v>310</v>
      </c>
      <c r="D779" s="2" t="s">
        <v>334</v>
      </c>
      <c r="E779" s="2" t="s">
        <v>38</v>
      </c>
      <c r="F779" s="2" t="s">
        <v>2090</v>
      </c>
      <c r="G779" s="2" t="s">
        <v>38</v>
      </c>
      <c r="H779" s="56" t="str">
        <f>Table1[[#This Row],[Tabela]]&amp;Table1[[#This Row],[Campo]]</f>
        <v>modesg_out_sfics_taxon_europeian.a.</v>
      </c>
      <c r="I779" s="2" t="s">
        <v>2339</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2"/>
    </row>
    <row r="780" spans="2:24" ht="17.850000000000001" customHeight="1">
      <c r="B780" s="2" t="s">
        <v>26</v>
      </c>
      <c r="C780" s="2" t="s">
        <v>310</v>
      </c>
      <c r="D780" s="2" t="s">
        <v>334</v>
      </c>
      <c r="E780" s="2" t="s">
        <v>38</v>
      </c>
      <c r="F780" s="2" t="s">
        <v>2090</v>
      </c>
      <c r="G780" s="2" t="s">
        <v>183</v>
      </c>
      <c r="H780" s="56" t="str">
        <f>Table1[[#This Row],[Tabela]]&amp;Table1[[#This Row],[Campo]]</f>
        <v>modesg_out_sfics_taxon_europeiacbalcao</v>
      </c>
      <c r="I780" s="2" t="s">
        <v>2339</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2"/>
    </row>
    <row r="781" spans="2:24" ht="17.850000000000001" customHeight="1">
      <c r="B781" s="2" t="s">
        <v>26</v>
      </c>
      <c r="C781" s="2" t="s">
        <v>310</v>
      </c>
      <c r="D781" s="2" t="s">
        <v>334</v>
      </c>
      <c r="E781" s="2" t="s">
        <v>38</v>
      </c>
      <c r="F781" s="2" t="s">
        <v>2090</v>
      </c>
      <c r="G781" s="2" t="s">
        <v>183</v>
      </c>
      <c r="H781" s="56" t="str">
        <f>Table1[[#This Row],[Tabela]]&amp;Table1[[#This Row],[Campo]]</f>
        <v>modesg_out_sfics_taxon_europeiacbalcao</v>
      </c>
      <c r="I781" s="2" t="s">
        <v>2339</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2"/>
    </row>
    <row r="782" spans="2:24" ht="17.850000000000001" customHeight="1">
      <c r="B782" s="2" t="s">
        <v>26</v>
      </c>
      <c r="C782" s="2" t="s">
        <v>310</v>
      </c>
      <c r="D782" s="2" t="s">
        <v>334</v>
      </c>
      <c r="E782" s="2" t="s">
        <v>38</v>
      </c>
      <c r="F782" s="2" t="s">
        <v>2090</v>
      </c>
      <c r="G782" s="2" t="s">
        <v>183</v>
      </c>
      <c r="H782" s="56" t="str">
        <f>Table1[[#This Row],[Tabela]]&amp;Table1[[#This Row],[Campo]]</f>
        <v>modesg_out_sfics_taxon_europeiacbalcao</v>
      </c>
      <c r="I782" s="2" t="s">
        <v>2339</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2"/>
    </row>
    <row r="783" spans="2:24" ht="17.850000000000001" customHeight="1">
      <c r="B783" s="2" t="s">
        <v>26</v>
      </c>
      <c r="C783" s="2" t="s">
        <v>310</v>
      </c>
      <c r="D783" s="2" t="s">
        <v>334</v>
      </c>
      <c r="E783" s="2" t="s">
        <v>38</v>
      </c>
      <c r="F783" s="2" t="s">
        <v>2090</v>
      </c>
      <c r="G783" s="2" t="s">
        <v>184</v>
      </c>
      <c r="H783" s="56" t="str">
        <f>Table1[[#This Row],[Tabela]]&amp;Table1[[#This Row],[Campo]]</f>
        <v>modesg_out_sfics_taxon_europeiacempresa</v>
      </c>
      <c r="I783" s="2" t="s">
        <v>2339</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2"/>
    </row>
    <row r="784" spans="2:24" ht="17.850000000000001" customHeight="1">
      <c r="B784" s="2" t="s">
        <v>26</v>
      </c>
      <c r="C784" s="2" t="s">
        <v>310</v>
      </c>
      <c r="D784" s="2" t="s">
        <v>334</v>
      </c>
      <c r="E784" s="2" t="s">
        <v>38</v>
      </c>
      <c r="F784" s="2" t="s">
        <v>2090</v>
      </c>
      <c r="G784" s="2" t="s">
        <v>184</v>
      </c>
      <c r="H784" s="56" t="str">
        <f>Table1[[#This Row],[Tabela]]&amp;Table1[[#This Row],[Campo]]</f>
        <v>modesg_out_sfics_taxon_europeiacempresa</v>
      </c>
      <c r="I784" s="2" t="s">
        <v>2339</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2"/>
    </row>
    <row r="785" spans="2:24" ht="17.850000000000001" customHeight="1">
      <c r="B785" s="2" t="s">
        <v>26</v>
      </c>
      <c r="C785" s="2" t="s">
        <v>310</v>
      </c>
      <c r="D785" s="2" t="s">
        <v>334</v>
      </c>
      <c r="E785" s="2" t="s">
        <v>38</v>
      </c>
      <c r="F785" s="2" t="s">
        <v>2090</v>
      </c>
      <c r="G785" s="2" t="s">
        <v>184</v>
      </c>
      <c r="H785" s="56" t="str">
        <f>Table1[[#This Row],[Tabela]]&amp;Table1[[#This Row],[Campo]]</f>
        <v>modesg_out_sfics_taxon_europeiacempresa</v>
      </c>
      <c r="I785" s="2" t="s">
        <v>2339</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2"/>
    </row>
    <row r="786" spans="2:24" ht="17.850000000000001" customHeight="1">
      <c r="B786" s="2" t="s">
        <v>26</v>
      </c>
      <c r="C786" s="2" t="s">
        <v>310</v>
      </c>
      <c r="D786" s="2" t="s">
        <v>334</v>
      </c>
      <c r="E786" s="2" t="s">
        <v>38</v>
      </c>
      <c r="F786" s="2" t="s">
        <v>2090</v>
      </c>
      <c r="G786" s="2" t="s">
        <v>189</v>
      </c>
      <c r="H786" s="56" t="str">
        <f>Table1[[#This Row],[Tabela]]&amp;Table1[[#This Row],[Campo]]</f>
        <v>modesg_out_sfics_taxon_europeiacnumecta</v>
      </c>
      <c r="I786" s="2" t="s">
        <v>2339</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2"/>
    </row>
    <row r="787" spans="2:24" ht="17.850000000000001" customHeight="1">
      <c r="B787" s="2" t="s">
        <v>26</v>
      </c>
      <c r="C787" s="2" t="s">
        <v>310</v>
      </c>
      <c r="D787" s="2" t="s">
        <v>334</v>
      </c>
      <c r="E787" s="2" t="s">
        <v>38</v>
      </c>
      <c r="F787" s="2" t="s">
        <v>2090</v>
      </c>
      <c r="G787" s="2" t="s">
        <v>189</v>
      </c>
      <c r="H787" s="56" t="str">
        <f>Table1[[#This Row],[Tabela]]&amp;Table1[[#This Row],[Campo]]</f>
        <v>modesg_out_sfics_taxon_europeiacnumecta</v>
      </c>
      <c r="I787" s="2" t="s">
        <v>2339</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2"/>
    </row>
    <row r="788" spans="2:24" ht="17.850000000000001" customHeight="1">
      <c r="B788" s="2" t="s">
        <v>26</v>
      </c>
      <c r="C788" s="2" t="s">
        <v>310</v>
      </c>
      <c r="D788" s="2" t="s">
        <v>334</v>
      </c>
      <c r="E788" s="2" t="s">
        <v>38</v>
      </c>
      <c r="F788" s="2" t="s">
        <v>2090</v>
      </c>
      <c r="G788" s="2" t="s">
        <v>189</v>
      </c>
      <c r="H788" s="56" t="str">
        <f>Table1[[#This Row],[Tabela]]&amp;Table1[[#This Row],[Campo]]</f>
        <v>modesg_out_sfics_taxon_europeiacnumecta</v>
      </c>
      <c r="I788" s="2" t="s">
        <v>2339</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2"/>
    </row>
    <row r="789" spans="2:24" ht="17.850000000000001" customHeight="1">
      <c r="B789" s="2" t="s">
        <v>26</v>
      </c>
      <c r="C789" s="2" t="s">
        <v>310</v>
      </c>
      <c r="D789" s="2" t="s">
        <v>334</v>
      </c>
      <c r="E789" s="2" t="s">
        <v>38</v>
      </c>
      <c r="F789" s="2" t="s">
        <v>2090</v>
      </c>
      <c r="G789" s="2" t="s">
        <v>191</v>
      </c>
      <c r="H789" s="56" t="str">
        <f>Table1[[#This Row],[Tabela]]&amp;Table1[[#This Row],[Campo]]</f>
        <v>modesg_out_sfics_taxon_europeiacod_regra</v>
      </c>
      <c r="I789" s="2" t="s">
        <v>2339</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2"/>
    </row>
    <row r="790" spans="2:24" ht="17.850000000000001" customHeight="1">
      <c r="B790" s="2" t="s">
        <v>26</v>
      </c>
      <c r="C790" s="2" t="s">
        <v>310</v>
      </c>
      <c r="D790" s="2" t="s">
        <v>334</v>
      </c>
      <c r="E790" s="2" t="s">
        <v>38</v>
      </c>
      <c r="F790" s="2" t="s">
        <v>2090</v>
      </c>
      <c r="G790" s="2" t="s">
        <v>191</v>
      </c>
      <c r="H790" s="56" t="str">
        <f>Table1[[#This Row],[Tabela]]&amp;Table1[[#This Row],[Campo]]</f>
        <v>modesg_out_sfics_taxon_europeiacod_regra</v>
      </c>
      <c r="I790" s="2" t="s">
        <v>2339</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2"/>
    </row>
    <row r="791" spans="2:24" ht="17.850000000000001" customHeight="1">
      <c r="B791" s="2" t="s">
        <v>26</v>
      </c>
      <c r="C791" s="2" t="s">
        <v>310</v>
      </c>
      <c r="D791" s="2" t="s">
        <v>334</v>
      </c>
      <c r="E791" s="2" t="s">
        <v>38</v>
      </c>
      <c r="F791" s="2" t="s">
        <v>2090</v>
      </c>
      <c r="G791" s="2" t="s">
        <v>191</v>
      </c>
      <c r="H791" s="56" t="str">
        <f>Table1[[#This Row],[Tabela]]&amp;Table1[[#This Row],[Campo]]</f>
        <v>modesg_out_sfics_taxon_europeiacod_regra</v>
      </c>
      <c r="I791" s="2" t="s">
        <v>2339</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2"/>
    </row>
    <row r="792" spans="2:24" ht="17.850000000000001"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50000000000001"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50000000000001"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35" customHeight="1">
      <c r="B795" s="2" t="s">
        <v>26</v>
      </c>
      <c r="C795" s="2" t="s">
        <v>310</v>
      </c>
      <c r="D795" s="2" t="s">
        <v>334</v>
      </c>
      <c r="E795" s="2" t="s">
        <v>38</v>
      </c>
      <c r="F795" s="2" t="s">
        <v>2090</v>
      </c>
      <c r="G795" s="2" t="s">
        <v>202</v>
      </c>
      <c r="H795" s="56" t="str">
        <f>Table1[[#This Row],[Tabela]]&amp;Table1[[#This Row],[Campo]]</f>
        <v>modesg_out_sfics_taxon_europeiamontante_pndrc</v>
      </c>
      <c r="I795" s="2" t="s">
        <v>2339</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2"/>
    </row>
    <row r="796" spans="2:24" ht="139.35" customHeight="1">
      <c r="B796" s="2" t="s">
        <v>26</v>
      </c>
      <c r="C796" s="2" t="s">
        <v>310</v>
      </c>
      <c r="D796" s="2" t="s">
        <v>334</v>
      </c>
      <c r="E796" s="2" t="s">
        <v>38</v>
      </c>
      <c r="F796" s="2" t="s">
        <v>2090</v>
      </c>
      <c r="G796" s="2" t="s">
        <v>202</v>
      </c>
      <c r="H796" s="56" t="str">
        <f>Table1[[#This Row],[Tabela]]&amp;Table1[[#This Row],[Campo]]</f>
        <v>modesg_out_sfics_taxon_europeiamontante_pndrc</v>
      </c>
      <c r="I796" s="2" t="s">
        <v>2339</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2"/>
    </row>
    <row r="797" spans="2:24" ht="139.35" customHeight="1">
      <c r="B797" s="2" t="s">
        <v>26</v>
      </c>
      <c r="C797" s="2" t="s">
        <v>310</v>
      </c>
      <c r="D797" s="2" t="s">
        <v>334</v>
      </c>
      <c r="E797" s="2" t="s">
        <v>38</v>
      </c>
      <c r="F797" s="2" t="s">
        <v>2090</v>
      </c>
      <c r="G797" s="2" t="s">
        <v>202</v>
      </c>
      <c r="H797" s="56" t="str">
        <f>Table1[[#This Row],[Tabela]]&amp;Table1[[#This Row],[Campo]]</f>
        <v>modesg_out_sfics_taxon_europeiamontante_pndrc</v>
      </c>
      <c r="I797" s="2" t="s">
        <v>2339</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2"/>
    </row>
    <row r="798" spans="2:24" ht="52.35" customHeight="1">
      <c r="B798" s="2" t="s">
        <v>26</v>
      </c>
      <c r="C798" s="2" t="s">
        <v>310</v>
      </c>
      <c r="D798" s="2" t="s">
        <v>334</v>
      </c>
      <c r="E798" s="2" t="s">
        <v>38</v>
      </c>
      <c r="F798" s="2" t="s">
        <v>2090</v>
      </c>
      <c r="G798" s="2" t="s">
        <v>2055</v>
      </c>
      <c r="H798" s="56" t="str">
        <f>Table1[[#This Row],[Tabela]]&amp;Table1[[#This Row],[Campo]]</f>
        <v>modesg_out_sfics_taxon_europeianome_ctgr_sfics</v>
      </c>
      <c r="I798" s="2" t="s">
        <v>2339</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2"/>
    </row>
    <row r="799" spans="2:24" ht="52.35" customHeight="1">
      <c r="B799" s="2" t="s">
        <v>26</v>
      </c>
      <c r="C799" s="2" t="s">
        <v>310</v>
      </c>
      <c r="D799" s="2" t="s">
        <v>334</v>
      </c>
      <c r="E799" s="2" t="s">
        <v>38</v>
      </c>
      <c r="F799" s="2" t="s">
        <v>2090</v>
      </c>
      <c r="G799" s="2" t="s">
        <v>2055</v>
      </c>
      <c r="H799" s="56" t="str">
        <f>Table1[[#This Row],[Tabela]]&amp;Table1[[#This Row],[Campo]]</f>
        <v>modesg_out_sfics_taxon_europeianome_ctgr_sfics</v>
      </c>
      <c r="I799" s="2" t="s">
        <v>2339</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2"/>
    </row>
    <row r="800" spans="2:24" ht="52.35" customHeight="1">
      <c r="B800" s="2" t="s">
        <v>26</v>
      </c>
      <c r="C800" s="2" t="s">
        <v>310</v>
      </c>
      <c r="D800" s="2" t="s">
        <v>334</v>
      </c>
      <c r="E800" s="2" t="s">
        <v>38</v>
      </c>
      <c r="F800" s="2" t="s">
        <v>2090</v>
      </c>
      <c r="G800" s="2" t="s">
        <v>2055</v>
      </c>
      <c r="H800" s="56" t="str">
        <f>Table1[[#This Row],[Tabela]]&amp;Table1[[#This Row],[Campo]]</f>
        <v>modesg_out_sfics_taxon_europeianome_ctgr_sfics</v>
      </c>
      <c r="I800" s="2" t="s">
        <v>2339</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2"/>
    </row>
    <row r="801" spans="2:24" ht="17.85000000000000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2339</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2"/>
    </row>
    <row r="802" spans="2:24" ht="17.85000000000000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2339</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2"/>
    </row>
    <row r="803" spans="2:24" ht="17.85000000000000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2339</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2"/>
    </row>
    <row r="804" spans="2:24" ht="17.85000000000000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2339</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2"/>
    </row>
    <row r="805" spans="2:24" ht="17.85000000000000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2339</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2"/>
    </row>
    <row r="806" spans="2:24" ht="17.85000000000000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2339</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2"/>
    </row>
    <row r="807" spans="2:24" ht="17.85000000000000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2339</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2"/>
    </row>
    <row r="808" spans="2:24" ht="17.85000000000000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2339</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2"/>
    </row>
    <row r="809" spans="2:24" ht="17.85000000000000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2339</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2"/>
    </row>
    <row r="810" spans="2:24" ht="17.85000000000000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2339</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2"/>
    </row>
    <row r="811" spans="2:24" ht="17.85000000000000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2339</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2"/>
    </row>
    <row r="812" spans="2:24" ht="17.85000000000000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2339</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2"/>
    </row>
    <row r="813" spans="2:24" ht="17.85000000000000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2339</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2"/>
    </row>
    <row r="814" spans="2:24" ht="17.85000000000000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2339</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2"/>
    </row>
    <row r="815" spans="2:24" ht="17.85000000000000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2339</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2"/>
    </row>
    <row r="816" spans="2:24" ht="17.850000000000001"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50000000000001"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50000000000001"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50000000000001" customHeight="1">
      <c r="B819" s="2" t="s">
        <v>26</v>
      </c>
      <c r="C819" s="2" t="s">
        <v>310</v>
      </c>
      <c r="D819" s="2" t="s">
        <v>334</v>
      </c>
      <c r="E819" s="2" t="s">
        <v>38</v>
      </c>
      <c r="F819" s="2" t="s">
        <v>2090</v>
      </c>
      <c r="G819" s="2" t="s">
        <v>208</v>
      </c>
      <c r="H819" s="56" t="str">
        <f>Table1[[#This Row],[Tabela]]&amp;Table1[[#This Row],[Campo]]</f>
        <v>modesg_out_sfics_taxon_europeiaref_date</v>
      </c>
      <c r="I819" s="2" t="s">
        <v>2339</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2"/>
    </row>
    <row r="820" spans="2:24" ht="17.850000000000001" customHeight="1">
      <c r="B820" s="2" t="s">
        <v>26</v>
      </c>
      <c r="C820" s="2" t="s">
        <v>310</v>
      </c>
      <c r="D820" s="2" t="s">
        <v>334</v>
      </c>
      <c r="E820" s="2" t="s">
        <v>38</v>
      </c>
      <c r="F820" s="2" t="s">
        <v>2090</v>
      </c>
      <c r="G820" s="2" t="s">
        <v>208</v>
      </c>
      <c r="H820" s="56" t="str">
        <f>Table1[[#This Row],[Tabela]]&amp;Table1[[#This Row],[Campo]]</f>
        <v>modesg_out_sfics_taxon_europeiaref_date</v>
      </c>
      <c r="I820" s="2" t="s">
        <v>2339</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2"/>
    </row>
    <row r="821" spans="2:24" ht="17.850000000000001" customHeight="1">
      <c r="B821" s="2" t="s">
        <v>26</v>
      </c>
      <c r="C821" s="2" t="s">
        <v>310</v>
      </c>
      <c r="D821" s="2" t="s">
        <v>334</v>
      </c>
      <c r="E821" s="2" t="s">
        <v>38</v>
      </c>
      <c r="F821" s="2" t="s">
        <v>2090</v>
      </c>
      <c r="G821" s="2" t="s">
        <v>208</v>
      </c>
      <c r="H821" s="56" t="str">
        <f>Table1[[#This Row],[Tabela]]&amp;Table1[[#This Row],[Campo]]</f>
        <v>modesg_out_sfics_taxon_europeiaref_date</v>
      </c>
      <c r="I821" s="2" t="s">
        <v>2339</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2"/>
    </row>
    <row r="822" spans="2:24" ht="17.850000000000001" customHeight="1">
      <c r="B822" s="2" t="s">
        <v>26</v>
      </c>
      <c r="C822" s="2" t="s">
        <v>310</v>
      </c>
      <c r="D822" s="2" t="s">
        <v>334</v>
      </c>
      <c r="E822" s="2" t="s">
        <v>38</v>
      </c>
      <c r="F822" s="2" t="s">
        <v>2090</v>
      </c>
      <c r="G822" s="2" t="s">
        <v>210</v>
      </c>
      <c r="H822" s="56" t="str">
        <f>Table1[[#This Row],[Tabela]]&amp;Table1[[#This Row],[Campo]]</f>
        <v>modesg_out_sfics_taxon_europeiazdeposit</v>
      </c>
      <c r="I822" s="2" t="s">
        <v>2339</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2"/>
    </row>
    <row r="823" spans="2:24" ht="17.850000000000001" customHeight="1">
      <c r="B823" s="2" t="s">
        <v>26</v>
      </c>
      <c r="C823" s="2" t="s">
        <v>310</v>
      </c>
      <c r="D823" s="2" t="s">
        <v>334</v>
      </c>
      <c r="E823" s="2" t="s">
        <v>38</v>
      </c>
      <c r="F823" s="2" t="s">
        <v>2090</v>
      </c>
      <c r="G823" s="2" t="s">
        <v>210</v>
      </c>
      <c r="H823" s="56" t="str">
        <f>Table1[[#This Row],[Tabela]]&amp;Table1[[#This Row],[Campo]]</f>
        <v>modesg_out_sfics_taxon_europeiazdeposit</v>
      </c>
      <c r="I823" s="2" t="s">
        <v>2339</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2"/>
    </row>
    <row r="824" spans="2:24" ht="17.850000000000001" customHeight="1">
      <c r="B824" s="2" t="s">
        <v>26</v>
      </c>
      <c r="C824" s="2" t="s">
        <v>310</v>
      </c>
      <c r="D824" s="2" t="s">
        <v>334</v>
      </c>
      <c r="E824" s="2" t="s">
        <v>38</v>
      </c>
      <c r="F824" s="2" t="s">
        <v>2090</v>
      </c>
      <c r="G824" s="2" t="s">
        <v>210</v>
      </c>
      <c r="H824" s="56" t="str">
        <f>Table1[[#This Row],[Tabela]]&amp;Table1[[#This Row],[Campo]]</f>
        <v>modesg_out_sfics_taxon_europeiazdeposit</v>
      </c>
      <c r="I824" s="2" t="s">
        <v>2339</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2"/>
    </row>
    <row r="825" spans="2:24" ht="17.850000000000001" customHeight="1">
      <c r="B825" s="2" t="s">
        <v>26</v>
      </c>
      <c r="C825" s="2" t="s">
        <v>181</v>
      </c>
      <c r="D825" s="2" t="s">
        <v>1215</v>
      </c>
      <c r="E825" s="2" t="s">
        <v>38</v>
      </c>
      <c r="F825" s="2" t="s">
        <v>2107</v>
      </c>
      <c r="G825" s="2" t="s">
        <v>38</v>
      </c>
      <c r="H825" s="56" t="str">
        <f>Table1[[#This Row],[Tabela]]&amp;Table1[[#This Row],[Campo]]</f>
        <v>modesg_param_sfics_taxon_europeian.a.</v>
      </c>
      <c r="I825" s="2" t="s">
        <v>2339</v>
      </c>
      <c r="J825" s="42">
        <f>VLOOKUP(Table1[[#This Row],[Status]],Auxiliar!$B$16:$C$24,2,0)</f>
        <v>3</v>
      </c>
      <c r="K825" s="2" t="s">
        <v>1169</v>
      </c>
      <c r="L825" s="28" t="s">
        <v>1178</v>
      </c>
      <c r="M825" s="20" t="s">
        <v>1171</v>
      </c>
      <c r="N825" s="47">
        <v>45695</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4</v>
      </c>
      <c r="X825" s="2"/>
    </row>
    <row r="826" spans="2:24" ht="87" customHeight="1">
      <c r="B826" s="2" t="s">
        <v>26</v>
      </c>
      <c r="C826" s="2" t="s">
        <v>181</v>
      </c>
      <c r="D826" s="2" t="s">
        <v>1215</v>
      </c>
      <c r="E826" s="2" t="s">
        <v>38</v>
      </c>
      <c r="F826" s="2" t="s">
        <v>2107</v>
      </c>
      <c r="G826" s="2" t="s">
        <v>38</v>
      </c>
      <c r="H826" s="56" t="str">
        <f>Table1[[#This Row],[Tabela]]&amp;Table1[[#This Row],[Campo]]</f>
        <v>modesg_param_sfics_taxon_europeian.a.</v>
      </c>
      <c r="I826" s="2" t="s">
        <v>2339</v>
      </c>
      <c r="J826" s="42">
        <f>VLOOKUP(Table1[[#This Row],[Status]],Auxiliar!$B$16:$C$24,2,0)</f>
        <v>3</v>
      </c>
      <c r="K826" s="2" t="s">
        <v>1216</v>
      </c>
      <c r="L826" s="28" t="s">
        <v>1178</v>
      </c>
      <c r="M826" s="20" t="s">
        <v>1179</v>
      </c>
      <c r="N826" s="47">
        <v>45695</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0.25</v>
      </c>
      <c r="X826" s="2"/>
    </row>
    <row r="827" spans="2:24" ht="17.850000000000001" customHeight="1">
      <c r="B827" s="2" t="s">
        <v>26</v>
      </c>
      <c r="C827" s="2" t="s">
        <v>181</v>
      </c>
      <c r="D827" s="2" t="s">
        <v>1215</v>
      </c>
      <c r="E827" s="2" t="s">
        <v>38</v>
      </c>
      <c r="F827" s="2" t="s">
        <v>2107</v>
      </c>
      <c r="G827" s="2" t="s">
        <v>208</v>
      </c>
      <c r="H827" s="56" t="str">
        <f>Table1[[#This Row],[Tabela]]&amp;Table1[[#This Row],[Campo]]</f>
        <v>modesg_param_sfics_taxon_europeiaref_date</v>
      </c>
      <c r="I827" s="2" t="s">
        <v>2339</v>
      </c>
      <c r="J827" s="54">
        <f>VLOOKUP(Table1[[#This Row],[Status]],Auxiliar!$B$16:$C$24,2,0)</f>
        <v>3</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0.25</v>
      </c>
      <c r="X827" s="2"/>
    </row>
    <row r="828" spans="2:24" ht="17.850000000000001"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hidden="1" customHeight="1">
      <c r="B829" s="2" t="s">
        <v>26</v>
      </c>
      <c r="C829" s="2" t="s">
        <v>181</v>
      </c>
      <c r="D829" s="2" t="s">
        <v>1215</v>
      </c>
      <c r="E829" s="2" t="s">
        <v>38</v>
      </c>
      <c r="F829" s="2" t="s">
        <v>2107</v>
      </c>
      <c r="G829" s="2" t="s">
        <v>2396</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50000000000001"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50000000000001" customHeight="1">
      <c r="B832" s="2" t="s">
        <v>26</v>
      </c>
      <c r="C832" s="2" t="s">
        <v>181</v>
      </c>
      <c r="D832" s="2" t="s">
        <v>1215</v>
      </c>
      <c r="E832" s="2" t="s">
        <v>38</v>
      </c>
      <c r="F832" s="2" t="s">
        <v>2107</v>
      </c>
      <c r="G832" s="2" t="s">
        <v>191</v>
      </c>
      <c r="H832" s="56" t="str">
        <f>Table1[[#This Row],[Tabela]]&amp;Table1[[#This Row],[Campo]]</f>
        <v>modesg_param_sfics_taxon_europeiacod_regra</v>
      </c>
      <c r="I832" s="2" t="s">
        <v>2339</v>
      </c>
      <c r="J832" s="54">
        <f>VLOOKUP(Table1[[#This Row],[Status]],Auxiliar!$B$16:$C$24,2,0)</f>
        <v>3</v>
      </c>
      <c r="K832" s="2" t="s">
        <v>1183</v>
      </c>
      <c r="L832" s="28" t="s">
        <v>1178</v>
      </c>
      <c r="M832" s="20" t="s">
        <v>1179</v>
      </c>
      <c r="N832" s="47">
        <v>45695</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0.25</v>
      </c>
      <c r="X832" s="2"/>
    </row>
    <row r="833" spans="2:24" ht="17.850000000000001" customHeight="1">
      <c r="B833" s="2" t="s">
        <v>26</v>
      </c>
      <c r="C833" s="2" t="s">
        <v>181</v>
      </c>
      <c r="D833" s="2" t="s">
        <v>1215</v>
      </c>
      <c r="E833" s="2" t="s">
        <v>38</v>
      </c>
      <c r="F833" s="2" t="s">
        <v>2107</v>
      </c>
      <c r="G833" s="2" t="s">
        <v>197</v>
      </c>
      <c r="H833" s="56" t="str">
        <f>Table1[[#This Row],[Tabela]]&amp;Table1[[#This Row],[Campo]]</f>
        <v>modesg_param_sfics_taxon_europeiadscrc</v>
      </c>
      <c r="I833" s="2" t="s">
        <v>2339</v>
      </c>
      <c r="J833" s="54">
        <f>VLOOKUP(Table1[[#This Row],[Status]],Auxiliar!$B$16:$C$24,2,0)</f>
        <v>3</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0.25</v>
      </c>
      <c r="X833" s="2"/>
    </row>
    <row r="834" spans="2:24" ht="17.850000000000001" customHeight="1">
      <c r="B834" s="2" t="s">
        <v>26</v>
      </c>
      <c r="C834" s="2" t="s">
        <v>181</v>
      </c>
      <c r="D834" s="2" t="s">
        <v>1215</v>
      </c>
      <c r="E834" s="2" t="s">
        <v>38</v>
      </c>
      <c r="F834" s="2" t="s">
        <v>2107</v>
      </c>
      <c r="G834" s="2" t="s">
        <v>192</v>
      </c>
      <c r="H834" s="56" t="str">
        <f>Table1[[#This Row],[Tabela]]&amp;Table1[[#This Row],[Campo]]</f>
        <v>modesg_param_sfics_taxon_europeiacomite</v>
      </c>
      <c r="I834" s="2" t="s">
        <v>2339</v>
      </c>
      <c r="J834" s="54">
        <f>VLOOKUP(Table1[[#This Row],[Status]],Auxiliar!$B$16:$C$24,2,0)</f>
        <v>3</v>
      </c>
      <c r="K834" s="2" t="s">
        <v>1183</v>
      </c>
      <c r="L834" s="28" t="s">
        <v>1178</v>
      </c>
      <c r="M834" s="20" t="s">
        <v>1179</v>
      </c>
      <c r="N834" s="47">
        <v>45695</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0.25</v>
      </c>
      <c r="X834" s="2"/>
    </row>
    <row r="835" spans="2:24" ht="17.850000000000001" customHeight="1">
      <c r="B835" s="2" t="s">
        <v>26</v>
      </c>
      <c r="C835" s="2" t="s">
        <v>181</v>
      </c>
      <c r="D835" s="2" t="s">
        <v>1215</v>
      </c>
      <c r="E835" s="2" t="s">
        <v>38</v>
      </c>
      <c r="F835" s="2" t="s">
        <v>2107</v>
      </c>
      <c r="G835" s="2" t="s">
        <v>193</v>
      </c>
      <c r="H835" s="56" t="str">
        <f>Table1[[#This Row],[Tabela]]&amp;Table1[[#This Row],[Campo]]</f>
        <v>modesg_param_sfics_taxon_europeiadata_aprvc</v>
      </c>
      <c r="I835" s="2" t="s">
        <v>2339</v>
      </c>
      <c r="J835" s="54">
        <f>VLOOKUP(Table1[[#This Row],[Status]],Auxiliar!$B$16:$C$24,2,0)</f>
        <v>3</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0.25</v>
      </c>
      <c r="X835" s="2"/>
    </row>
    <row r="836" spans="2:24" ht="17.850000000000001" customHeight="1">
      <c r="B836" s="2" t="s">
        <v>26</v>
      </c>
      <c r="C836" s="2" t="s">
        <v>181</v>
      </c>
      <c r="D836" s="2" t="s">
        <v>1215</v>
      </c>
      <c r="E836" s="2" t="s">
        <v>38</v>
      </c>
      <c r="F836" s="2" t="s">
        <v>2107</v>
      </c>
      <c r="G836" s="2" t="s">
        <v>195</v>
      </c>
      <c r="H836" s="56" t="str">
        <f>Table1[[#This Row],[Tabela]]&amp;Table1[[#This Row],[Campo]]</f>
        <v>modesg_param_sfics_taxon_europeiadata_inicial</v>
      </c>
      <c r="I836" s="2" t="s">
        <v>2339</v>
      </c>
      <c r="J836" s="54">
        <f>VLOOKUP(Table1[[#This Row],[Status]],Auxiliar!$B$16:$C$24,2,0)</f>
        <v>3</v>
      </c>
      <c r="K836" s="2" t="s">
        <v>1183</v>
      </c>
      <c r="L836" s="28" t="s">
        <v>1178</v>
      </c>
      <c r="M836" s="20" t="s">
        <v>1179</v>
      </c>
      <c r="N836" s="47">
        <v>45695</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0.25</v>
      </c>
      <c r="X836" s="2"/>
    </row>
    <row r="837" spans="2:24" ht="17.850000000000001" customHeight="1">
      <c r="B837" s="2" t="s">
        <v>26</v>
      </c>
      <c r="C837" s="2" t="s">
        <v>181</v>
      </c>
      <c r="D837" s="2" t="s">
        <v>1215</v>
      </c>
      <c r="E837" s="2" t="s">
        <v>38</v>
      </c>
      <c r="F837" s="2" t="s">
        <v>2107</v>
      </c>
      <c r="G837" s="2" t="s">
        <v>194</v>
      </c>
      <c r="H837" s="56" t="str">
        <f>Table1[[#This Row],[Tabela]]&amp;Table1[[#This Row],[Campo]]</f>
        <v>modesg_param_sfics_taxon_europeiadata_final</v>
      </c>
      <c r="I837" s="2" t="s">
        <v>2339</v>
      </c>
      <c r="J837" s="54">
        <f>VLOOKUP(Table1[[#This Row],[Status]],Auxiliar!$B$16:$C$24,2,0)</f>
        <v>3</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0.25</v>
      </c>
      <c r="X837" s="2"/>
    </row>
    <row r="838" spans="2:24" ht="17.850000000000001" customHeight="1">
      <c r="B838" s="2" t="s">
        <v>26</v>
      </c>
      <c r="C838" s="2" t="s">
        <v>181</v>
      </c>
      <c r="D838" s="2" t="s">
        <v>1215</v>
      </c>
      <c r="E838" s="2" t="s">
        <v>38</v>
      </c>
      <c r="F838" s="2" t="s">
        <v>2107</v>
      </c>
      <c r="G838" s="2" t="s">
        <v>209</v>
      </c>
      <c r="H838" s="56" t="str">
        <f>Table1[[#This Row],[Tabela]]&amp;Table1[[#This Row],[Campo]]</f>
        <v>modesg_param_sfics_taxon_europeiazcliente</v>
      </c>
      <c r="I838" s="2" t="s">
        <v>2339</v>
      </c>
      <c r="J838" s="54">
        <f>VLOOKUP(Table1[[#This Row],[Status]],Auxiliar!$B$16:$C$24,2,0)</f>
        <v>3</v>
      </c>
      <c r="K838" s="2" t="s">
        <v>1183</v>
      </c>
      <c r="L838" s="28" t="s">
        <v>1178</v>
      </c>
      <c r="M838" s="20" t="s">
        <v>1179</v>
      </c>
      <c r="N838" s="47">
        <v>45695</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0.25</v>
      </c>
      <c r="X838" s="2"/>
    </row>
    <row r="839" spans="2:24" ht="17.850000000000001" customHeight="1">
      <c r="B839" s="2" t="s">
        <v>26</v>
      </c>
      <c r="C839" s="2" t="s">
        <v>181</v>
      </c>
      <c r="D839" s="2" t="s">
        <v>1215</v>
      </c>
      <c r="E839" s="2" t="s">
        <v>38</v>
      </c>
      <c r="F839" s="2" t="s">
        <v>2107</v>
      </c>
      <c r="G839" s="2" t="s">
        <v>394</v>
      </c>
      <c r="H839" s="56" t="str">
        <f>Table1[[#This Row],[Tabela]]&amp;Table1[[#This Row],[Campo]]</f>
        <v>modesg_param_sfics_taxon_europeiacontraparte</v>
      </c>
      <c r="I839" s="2" t="s">
        <v>2339</v>
      </c>
      <c r="J839" s="54">
        <f>VLOOKUP(Table1[[#This Row],[Status]],Auxiliar!$B$16:$C$24,2,0)</f>
        <v>3</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0.25</v>
      </c>
      <c r="X839" s="2"/>
    </row>
    <row r="840" spans="2:24" ht="17.850000000000001" customHeight="1">
      <c r="B840" s="2" t="s">
        <v>26</v>
      </c>
      <c r="C840" s="2" t="s">
        <v>181</v>
      </c>
      <c r="D840" s="2" t="s">
        <v>1215</v>
      </c>
      <c r="E840" s="2" t="s">
        <v>38</v>
      </c>
      <c r="F840" s="2" t="s">
        <v>2107</v>
      </c>
      <c r="G840" s="2" t="s">
        <v>184</v>
      </c>
      <c r="H840" s="56" t="str">
        <f>Table1[[#This Row],[Tabela]]&amp;Table1[[#This Row],[Campo]]</f>
        <v>modesg_param_sfics_taxon_europeiacempresa</v>
      </c>
      <c r="I840" s="2" t="s">
        <v>2339</v>
      </c>
      <c r="J840" s="54">
        <f>VLOOKUP(Table1[[#This Row],[Status]],Auxiliar!$B$16:$C$24,2,0)</f>
        <v>3</v>
      </c>
      <c r="K840" s="2" t="s">
        <v>1183</v>
      </c>
      <c r="L840" s="28" t="s">
        <v>1178</v>
      </c>
      <c r="M840" s="20" t="s">
        <v>1179</v>
      </c>
      <c r="N840" s="47">
        <v>45695</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0.25</v>
      </c>
      <c r="X840" s="2"/>
    </row>
    <row r="841" spans="2:24" ht="17.850000000000001" customHeight="1">
      <c r="B841" s="2" t="s">
        <v>26</v>
      </c>
      <c r="C841" s="2" t="s">
        <v>181</v>
      </c>
      <c r="D841" s="2" t="s">
        <v>1215</v>
      </c>
      <c r="E841" s="2" t="s">
        <v>38</v>
      </c>
      <c r="F841" s="2" t="s">
        <v>2107</v>
      </c>
      <c r="G841" s="2" t="s">
        <v>183</v>
      </c>
      <c r="H841" s="56" t="str">
        <f>Table1[[#This Row],[Tabela]]&amp;Table1[[#This Row],[Campo]]</f>
        <v>modesg_param_sfics_taxon_europeiacbalcao</v>
      </c>
      <c r="I841" s="2" t="s">
        <v>2339</v>
      </c>
      <c r="J841" s="54">
        <f>VLOOKUP(Table1[[#This Row],[Status]],Auxiliar!$B$16:$C$24,2,0)</f>
        <v>3</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0.25</v>
      </c>
      <c r="X841" s="2"/>
    </row>
    <row r="842" spans="2:24" ht="17.850000000000001" customHeight="1">
      <c r="B842" s="2" t="s">
        <v>26</v>
      </c>
      <c r="C842" s="2" t="s">
        <v>181</v>
      </c>
      <c r="D842" s="2" t="s">
        <v>1215</v>
      </c>
      <c r="E842" s="2" t="s">
        <v>38</v>
      </c>
      <c r="F842" s="2" t="s">
        <v>2107</v>
      </c>
      <c r="G842" s="2" t="s">
        <v>189</v>
      </c>
      <c r="H842" s="56" t="str">
        <f>Table1[[#This Row],[Tabela]]&amp;Table1[[#This Row],[Campo]]</f>
        <v>modesg_param_sfics_taxon_europeiacnumecta</v>
      </c>
      <c r="I842" s="2" t="s">
        <v>2339</v>
      </c>
      <c r="J842" s="54">
        <f>VLOOKUP(Table1[[#This Row],[Status]],Auxiliar!$B$16:$C$24,2,0)</f>
        <v>3</v>
      </c>
      <c r="K842" s="2" t="s">
        <v>1183</v>
      </c>
      <c r="L842" s="28" t="s">
        <v>1178</v>
      </c>
      <c r="M842" s="20" t="s">
        <v>1179</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0.25</v>
      </c>
      <c r="X842" s="2"/>
    </row>
    <row r="843" spans="2:24" ht="17.850000000000001" customHeight="1">
      <c r="B843" s="2" t="s">
        <v>26</v>
      </c>
      <c r="C843" s="2" t="s">
        <v>181</v>
      </c>
      <c r="D843" s="2" t="s">
        <v>1215</v>
      </c>
      <c r="E843" s="2" t="s">
        <v>38</v>
      </c>
      <c r="F843" s="2" t="s">
        <v>2107</v>
      </c>
      <c r="G843" s="2" t="s">
        <v>210</v>
      </c>
      <c r="H843" s="56" t="str">
        <f>Table1[[#This Row],[Tabela]]&amp;Table1[[#This Row],[Campo]]</f>
        <v>modesg_param_sfics_taxon_europeiazdeposit</v>
      </c>
      <c r="I843" s="2" t="s">
        <v>2339</v>
      </c>
      <c r="J843" s="54">
        <f>VLOOKUP(Table1[[#This Row],[Status]],Auxiliar!$B$16:$C$24,2,0)</f>
        <v>3</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0.25</v>
      </c>
      <c r="X843" s="2"/>
    </row>
    <row r="844" spans="2:24" ht="17.850000000000001" customHeight="1">
      <c r="B844" s="2" t="s">
        <v>26</v>
      </c>
      <c r="C844" s="2" t="s">
        <v>181</v>
      </c>
      <c r="D844" s="2" t="s">
        <v>1215</v>
      </c>
      <c r="E844" s="2" t="s">
        <v>38</v>
      </c>
      <c r="F844" s="2" t="s">
        <v>2107</v>
      </c>
      <c r="G844" s="2" t="s">
        <v>185</v>
      </c>
      <c r="H844" s="56" t="str">
        <f>Table1[[#This Row],[Tabela]]&amp;Table1[[#This Row],[Campo]]</f>
        <v>modesg_param_sfics_taxon_europeiackmetamis</v>
      </c>
      <c r="I844" s="2" t="s">
        <v>2339</v>
      </c>
      <c r="J844" s="54">
        <f>VLOOKUP(Table1[[#This Row],[Status]],Auxiliar!$B$16:$C$24,2,0)</f>
        <v>3</v>
      </c>
      <c r="K844" s="2" t="s">
        <v>1183</v>
      </c>
      <c r="L844" s="28" t="s">
        <v>1178</v>
      </c>
      <c r="M844" s="20" t="s">
        <v>1179</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0.25</v>
      </c>
      <c r="X844" s="2"/>
    </row>
    <row r="845" spans="2:24" ht="17.850000000000001" customHeight="1">
      <c r="B845" s="2" t="s">
        <v>26</v>
      </c>
      <c r="C845" s="2" t="s">
        <v>181</v>
      </c>
      <c r="D845" s="2" t="s">
        <v>1215</v>
      </c>
      <c r="E845" s="2" t="s">
        <v>38</v>
      </c>
      <c r="F845" s="2" t="s">
        <v>2107</v>
      </c>
      <c r="G845" s="2" t="s">
        <v>186</v>
      </c>
      <c r="H845" s="56" t="str">
        <f>Table1[[#This Row],[Tabela]]&amp;Table1[[#This Row],[Campo]]</f>
        <v>modesg_param_sfics_taxon_europeiackprodmi</v>
      </c>
      <c r="I845" s="2" t="s">
        <v>2339</v>
      </c>
      <c r="J845" s="54">
        <f>VLOOKUP(Table1[[#This Row],[Status]],Auxiliar!$B$16:$C$24,2,0)</f>
        <v>3</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0.25</v>
      </c>
      <c r="X845" s="2"/>
    </row>
    <row r="846" spans="2:24" ht="17.850000000000001" customHeight="1">
      <c r="B846" s="2" t="s">
        <v>26</v>
      </c>
      <c r="C846" s="2" t="s">
        <v>181</v>
      </c>
      <c r="D846" s="2" t="s">
        <v>1215</v>
      </c>
      <c r="E846" s="2" t="s">
        <v>38</v>
      </c>
      <c r="F846" s="2" t="s">
        <v>2107</v>
      </c>
      <c r="G846" s="2" t="s">
        <v>2056</v>
      </c>
      <c r="H846" s="56" t="str">
        <f>Table1[[#This Row],[Tabela]]&amp;Table1[[#This Row],[Campo]]</f>
        <v>modesg_param_sfics_taxon_europeiaprdt_sprdt</v>
      </c>
      <c r="I846" s="2" t="s">
        <v>2339</v>
      </c>
      <c r="J846" s="54">
        <f>VLOOKUP(Table1[[#This Row],[Status]],Auxiliar!$B$16:$C$24,2,0)</f>
        <v>3</v>
      </c>
      <c r="K846" s="2" t="s">
        <v>1183</v>
      </c>
      <c r="L846" s="28" t="s">
        <v>1178</v>
      </c>
      <c r="M846" s="20" t="s">
        <v>1179</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0.25</v>
      </c>
      <c r="X846" s="2"/>
    </row>
    <row r="847" spans="2:24" ht="17.850000000000001" customHeight="1">
      <c r="B847" s="2" t="s">
        <v>26</v>
      </c>
      <c r="C847" s="2" t="s">
        <v>181</v>
      </c>
      <c r="D847" s="2" t="s">
        <v>1215</v>
      </c>
      <c r="E847" s="2" t="s">
        <v>38</v>
      </c>
      <c r="F847" s="2" t="s">
        <v>2107</v>
      </c>
      <c r="G847" s="2" t="s">
        <v>187</v>
      </c>
      <c r="H847" s="56" t="str">
        <f>Table1[[#This Row],[Tabela]]&amp;Table1[[#This Row],[Campo]]</f>
        <v>modesg_param_sfics_taxon_europeiacmetanseg</v>
      </c>
      <c r="I847" s="2" t="s">
        <v>2339</v>
      </c>
      <c r="J847" s="42">
        <f>VLOOKUP(Table1[[#This Row],[Status]],Auxiliar!$B$16:$C$24,2,0)</f>
        <v>3</v>
      </c>
      <c r="K847" s="2" t="s">
        <v>1183</v>
      </c>
      <c r="L847" s="28" t="s">
        <v>1170</v>
      </c>
      <c r="M847" s="20" t="s">
        <v>1179</v>
      </c>
      <c r="N847" s="47">
        <v>45695</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0.25</v>
      </c>
      <c r="X847" s="2"/>
    </row>
    <row r="848" spans="2:24" ht="17.850000000000001" customHeight="1">
      <c r="B848" s="2" t="s">
        <v>26</v>
      </c>
      <c r="C848" s="2" t="s">
        <v>181</v>
      </c>
      <c r="D848" s="2" t="s">
        <v>1215</v>
      </c>
      <c r="E848" s="2" t="s">
        <v>38</v>
      </c>
      <c r="F848" s="2" t="s">
        <v>2107</v>
      </c>
      <c r="G848" s="2" t="s">
        <v>198</v>
      </c>
      <c r="H848" s="56" t="str">
        <f>Table1[[#This Row],[Tabela]]&amp;Table1[[#This Row],[Campo]]</f>
        <v>modesg_param_sfics_taxon_europeiaepc</v>
      </c>
      <c r="I848" s="2" t="s">
        <v>2339</v>
      </c>
      <c r="J848" s="42">
        <f>VLOOKUP(Table1[[#This Row],[Status]],Auxiliar!$B$16:$C$24,2,0)</f>
        <v>3</v>
      </c>
      <c r="K848" s="2" t="s">
        <v>1183</v>
      </c>
      <c r="L848" s="28" t="s">
        <v>1170</v>
      </c>
      <c r="M848" s="20" t="s">
        <v>1179</v>
      </c>
      <c r="N848" s="47">
        <v>45695</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0.25</v>
      </c>
      <c r="X848" s="2"/>
    </row>
    <row r="849" spans="2:24" ht="17.850000000000001" customHeight="1">
      <c r="B849" s="2" t="s">
        <v>26</v>
      </c>
      <c r="C849" s="2" t="s">
        <v>181</v>
      </c>
      <c r="D849" s="2" t="s">
        <v>1215</v>
      </c>
      <c r="E849" s="2" t="s">
        <v>38</v>
      </c>
      <c r="F849" s="2" t="s">
        <v>2107</v>
      </c>
      <c r="G849" s="2" t="s">
        <v>2065</v>
      </c>
      <c r="H849" s="56" t="str">
        <f>Table1[[#This Row],[Tabela]]&amp;Table1[[#This Row],[Campo]]</f>
        <v>modesg_param_sfics_taxon_europeiaquality_score</v>
      </c>
      <c r="I849" s="2" t="s">
        <v>2339</v>
      </c>
      <c r="J849" s="42">
        <f>VLOOKUP(Table1[[#This Row],[Status]],Auxiliar!$B$16:$C$24,2,0)</f>
        <v>3</v>
      </c>
      <c r="K849" s="2" t="s">
        <v>1183</v>
      </c>
      <c r="L849" s="28" t="s">
        <v>1178</v>
      </c>
      <c r="M849" s="20" t="s">
        <v>1179</v>
      </c>
      <c r="N849" s="47">
        <v>45695</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0.25</v>
      </c>
      <c r="X849" s="2"/>
    </row>
    <row r="850" spans="2:24" ht="17.850000000000001" customHeight="1">
      <c r="B850" s="2" t="s">
        <v>26</v>
      </c>
      <c r="C850" s="2" t="s">
        <v>181</v>
      </c>
      <c r="D850" s="2" t="s">
        <v>1215</v>
      </c>
      <c r="E850" s="2" t="s">
        <v>38</v>
      </c>
      <c r="F850" s="2" t="s">
        <v>2107</v>
      </c>
      <c r="G850" s="2" t="s">
        <v>2066</v>
      </c>
      <c r="H850" s="56" t="str">
        <f>Table1[[#This Row],[Tabela]]&amp;Table1[[#This Row],[Campo]]</f>
        <v>modesg_param_sfics_taxon_europeianzeb</v>
      </c>
      <c r="I850" s="2" t="s">
        <v>2339</v>
      </c>
      <c r="J850" s="42">
        <f>VLOOKUP(Table1[[#This Row],[Status]],Auxiliar!$B$16:$C$24,2,0)</f>
        <v>3</v>
      </c>
      <c r="K850" s="2" t="s">
        <v>1183</v>
      </c>
      <c r="L850" s="28" t="s">
        <v>1178</v>
      </c>
      <c r="M850" s="20" t="s">
        <v>1179</v>
      </c>
      <c r="N850" s="47">
        <v>45695</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0.25</v>
      </c>
      <c r="X850" s="2"/>
    </row>
    <row r="851" spans="2:24" ht="17.850000000000001" customHeight="1">
      <c r="B851" s="2" t="s">
        <v>26</v>
      </c>
      <c r="C851" s="2" t="s">
        <v>181</v>
      </c>
      <c r="D851" s="2" t="s">
        <v>1215</v>
      </c>
      <c r="E851" s="2" t="s">
        <v>38</v>
      </c>
      <c r="F851" s="2" t="s">
        <v>2107</v>
      </c>
      <c r="G851" s="2" t="s">
        <v>2067</v>
      </c>
      <c r="H851" s="56" t="str">
        <f>Table1[[#This Row],[Tabela]]&amp;Table1[[#This Row],[Campo]]</f>
        <v>modesg_param_sfics_taxon_europeiaRIEE</v>
      </c>
      <c r="I851" s="2" t="s">
        <v>2339</v>
      </c>
      <c r="J851" s="42">
        <f>VLOOKUP(Table1[[#This Row],[Status]],Auxiliar!$B$16:$C$24,2,0)</f>
        <v>3</v>
      </c>
      <c r="K851" s="2" t="s">
        <v>1183</v>
      </c>
      <c r="L851" s="28" t="s">
        <v>1178</v>
      </c>
      <c r="M851" s="20" t="s">
        <v>1179</v>
      </c>
      <c r="N851" s="47">
        <v>45695</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0.25</v>
      </c>
      <c r="X851" s="2"/>
    </row>
    <row r="852" spans="2:24" ht="17.850000000000001" customHeight="1">
      <c r="B852" s="2" t="s">
        <v>26</v>
      </c>
      <c r="C852" s="2" t="s">
        <v>181</v>
      </c>
      <c r="D852" s="2" t="s">
        <v>1215</v>
      </c>
      <c r="E852" s="2" t="s">
        <v>38</v>
      </c>
      <c r="F852" s="2" t="s">
        <v>2107</v>
      </c>
      <c r="G852" s="2" t="s">
        <v>2068</v>
      </c>
      <c r="H852" s="56" t="str">
        <f>Table1[[#This Row],[Tabela]]&amp;Table1[[#This Row],[Campo]]</f>
        <v>modesg_param_sfics_taxon_europeiaRNT</v>
      </c>
      <c r="I852" s="2" t="s">
        <v>2339</v>
      </c>
      <c r="J852" s="42">
        <f>VLOOKUP(Table1[[#This Row],[Status]],Auxiliar!$B$16:$C$24,2,0)</f>
        <v>3</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0.25</v>
      </c>
      <c r="X852" s="2"/>
    </row>
    <row r="853" spans="2:24" ht="17.850000000000001" customHeight="1">
      <c r="B853" s="2" t="s">
        <v>26</v>
      </c>
      <c r="C853" s="2" t="s">
        <v>181</v>
      </c>
      <c r="D853" s="2" t="s">
        <v>1215</v>
      </c>
      <c r="E853" s="2" t="s">
        <v>38</v>
      </c>
      <c r="F853" s="2" t="s">
        <v>2107</v>
      </c>
      <c r="G853" s="2" t="s">
        <v>283</v>
      </c>
      <c r="H853" s="56" t="str">
        <f>Table1[[#This Row],[Tabela]]&amp;Table1[[#This Row],[Campo]]</f>
        <v>modesg_param_sfics_taxon_europeiaflg_rsc_fsc_crnc</v>
      </c>
      <c r="I853" s="2" t="s">
        <v>2339</v>
      </c>
      <c r="J853" s="42">
        <f>VLOOKUP(Table1[[#This Row],[Status]],Auxiliar!$B$16:$C$24,2,0)</f>
        <v>3</v>
      </c>
      <c r="K853" s="2" t="s">
        <v>1183</v>
      </c>
      <c r="L853" s="28" t="s">
        <v>1178</v>
      </c>
      <c r="M853" s="20" t="s">
        <v>1179</v>
      </c>
      <c r="N853" s="47">
        <v>45695</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0.25</v>
      </c>
      <c r="X853" s="2"/>
    </row>
    <row r="854" spans="2:24" ht="17.850000000000001" customHeight="1">
      <c r="B854" s="2" t="s">
        <v>26</v>
      </c>
      <c r="C854" s="2" t="s">
        <v>181</v>
      </c>
      <c r="D854" s="2" t="s">
        <v>1215</v>
      </c>
      <c r="E854" s="2" t="s">
        <v>38</v>
      </c>
      <c r="F854" s="2" t="s">
        <v>2107</v>
      </c>
      <c r="G854" s="2" t="s">
        <v>282</v>
      </c>
      <c r="H854" s="56" t="str">
        <f>Table1[[#This Row],[Tabela]]&amp;Table1[[#This Row],[Campo]]</f>
        <v>modesg_param_sfics_taxon_europeiaflg_rsc_fsc_agd</v>
      </c>
      <c r="I854" s="2" t="s">
        <v>2339</v>
      </c>
      <c r="J854" s="42">
        <f>VLOOKUP(Table1[[#This Row],[Status]],Auxiliar!$B$16:$C$24,2,0)</f>
        <v>3</v>
      </c>
      <c r="K854" s="2" t="s">
        <v>1183</v>
      </c>
      <c r="L854" s="28" t="s">
        <v>1178</v>
      </c>
      <c r="M854" s="20" t="s">
        <v>1179</v>
      </c>
      <c r="N854" s="47">
        <v>45695</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0.25</v>
      </c>
      <c r="X854" s="2"/>
    </row>
    <row r="855" spans="2:24" ht="17.85000000000000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2339</v>
      </c>
      <c r="J855" s="42">
        <f>VLOOKUP(Table1[[#This Row],[Status]],Auxiliar!$B$16:$C$24,2,0)</f>
        <v>3</v>
      </c>
      <c r="K855" s="2" t="s">
        <v>1183</v>
      </c>
      <c r="L855" s="28" t="s">
        <v>1178</v>
      </c>
      <c r="M855" s="20" t="s">
        <v>1179</v>
      </c>
      <c r="N855" s="47">
        <v>45695</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0.25</v>
      </c>
      <c r="X855" s="2"/>
    </row>
    <row r="856" spans="2:24" ht="17.85000000000000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2339</v>
      </c>
      <c r="J856" s="42">
        <f>VLOOKUP(Table1[[#This Row],[Status]],Auxiliar!$B$16:$C$24,2,0)</f>
        <v>3</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0.25</v>
      </c>
      <c r="X856" s="2"/>
    </row>
    <row r="857" spans="2:24" ht="17.850000000000001" customHeight="1">
      <c r="B857" s="2" t="s">
        <v>26</v>
      </c>
      <c r="C857" s="2" t="s">
        <v>181</v>
      </c>
      <c r="D857" s="2" t="s">
        <v>1215</v>
      </c>
      <c r="E857" s="2" t="s">
        <v>38</v>
      </c>
      <c r="F857" s="2" t="s">
        <v>2107</v>
      </c>
      <c r="G857" s="2" t="s">
        <v>2060</v>
      </c>
      <c r="H857" s="56" t="str">
        <f>Table1[[#This Row],[Tabela]]&amp;Table1[[#This Row],[Campo]]</f>
        <v>modesg_param_sfics_taxon_europeiacfamilia</v>
      </c>
      <c r="I857" s="2" t="s">
        <v>2339</v>
      </c>
      <c r="J857" s="54">
        <f>VLOOKUP(Table1[[#This Row],[Status]],Auxiliar!$B$16:$C$24,2,0)</f>
        <v>3</v>
      </c>
      <c r="K857" s="2" t="s">
        <v>1183</v>
      </c>
      <c r="L857" s="28" t="s">
        <v>1178</v>
      </c>
      <c r="M857" s="20" t="s">
        <v>1179</v>
      </c>
      <c r="N857" s="47">
        <v>45695</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0.25</v>
      </c>
      <c r="X857" s="2"/>
    </row>
    <row r="858" spans="2:24" ht="17.850000000000001" customHeight="1">
      <c r="B858" s="2" t="s">
        <v>26</v>
      </c>
      <c r="C858" s="2" t="s">
        <v>181</v>
      </c>
      <c r="D858" s="2" t="s">
        <v>1215</v>
      </c>
      <c r="E858" s="2" t="s">
        <v>38</v>
      </c>
      <c r="F858" s="2" t="s">
        <v>2107</v>
      </c>
      <c r="G858" s="2" t="s">
        <v>200</v>
      </c>
      <c r="H858" s="56" t="str">
        <f>Table1[[#This Row],[Tabela]]&amp;Table1[[#This Row],[Campo]]</f>
        <v>modesg_param_sfics_taxon_europeiacfinalidad</v>
      </c>
      <c r="I858" s="2" t="s">
        <v>2339</v>
      </c>
      <c r="J858" s="54">
        <f>VLOOKUP(Table1[[#This Row],[Status]],Auxiliar!$B$16:$C$24,2,0)</f>
        <v>3</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0.25</v>
      </c>
      <c r="X858" s="2"/>
    </row>
    <row r="859" spans="2:24" ht="17.85000000000000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2339</v>
      </c>
      <c r="J859" s="54">
        <f>VLOOKUP(Table1[[#This Row],[Status]],Auxiliar!$B$16:$C$24,2,0)</f>
        <v>3</v>
      </c>
      <c r="K859" s="2" t="s">
        <v>1183</v>
      </c>
      <c r="L859" s="28" t="s">
        <v>1178</v>
      </c>
      <c r="M859" s="20" t="s">
        <v>1179</v>
      </c>
      <c r="N859" s="47">
        <v>45695</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0.25</v>
      </c>
      <c r="X859" s="2"/>
    </row>
    <row r="860" spans="2:24" ht="17.850000000000001" customHeight="1">
      <c r="B860" s="2" t="s">
        <v>26</v>
      </c>
      <c r="C860" s="2" t="s">
        <v>181</v>
      </c>
      <c r="D860" s="2" t="s">
        <v>1215</v>
      </c>
      <c r="E860" s="2" t="s">
        <v>38</v>
      </c>
      <c r="F860" s="2" t="s">
        <v>2107</v>
      </c>
      <c r="G860" s="2" t="s">
        <v>2063</v>
      </c>
      <c r="H860" s="56" t="str">
        <f>Table1[[#This Row],[Tabela]]&amp;Table1[[#This Row],[Campo]]</f>
        <v>modesg_param_sfics_taxon_europeiatipo_eqp</v>
      </c>
      <c r="I860" s="2" t="s">
        <v>2339</v>
      </c>
      <c r="J860" s="54">
        <f>VLOOKUP(Table1[[#This Row],[Status]],Auxiliar!$B$16:$C$24,2,0)</f>
        <v>3</v>
      </c>
      <c r="K860" s="2" t="s">
        <v>1183</v>
      </c>
      <c r="L860" s="28" t="s">
        <v>1178</v>
      </c>
      <c r="M860" s="20" t="s">
        <v>1179</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0.25</v>
      </c>
      <c r="X860" s="2"/>
    </row>
    <row r="861" spans="2:24" ht="17.850000000000001" customHeight="1">
      <c r="B861" s="2" t="s">
        <v>26</v>
      </c>
      <c r="C861" s="2" t="s">
        <v>181</v>
      </c>
      <c r="D861" s="2" t="s">
        <v>1215</v>
      </c>
      <c r="E861" s="2" t="s">
        <v>38</v>
      </c>
      <c r="F861" s="2" t="s">
        <v>2107</v>
      </c>
      <c r="G861" s="2" t="s">
        <v>2058</v>
      </c>
      <c r="H861" s="56" t="str">
        <f>Table1[[#This Row],[Tabela]]&amp;Table1[[#This Row],[Campo]]</f>
        <v>modesg_param_sfics_taxon_europeiacombustivel</v>
      </c>
      <c r="I861" s="2" t="s">
        <v>2339</v>
      </c>
      <c r="J861" s="54">
        <f>VLOOKUP(Table1[[#This Row],[Status]],Auxiliar!$B$16:$C$24,2,0)</f>
        <v>3</v>
      </c>
      <c r="K861" s="2" t="s">
        <v>1183</v>
      </c>
      <c r="L861" s="28" t="s">
        <v>1178</v>
      </c>
      <c r="M861" s="20" t="s">
        <v>1179</v>
      </c>
      <c r="N861" s="47">
        <v>45695</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0.25</v>
      </c>
      <c r="X861" s="2"/>
    </row>
    <row r="862" spans="2:24" ht="17.850000000000001" customHeight="1">
      <c r="B862" s="2" t="s">
        <v>26</v>
      </c>
      <c r="C862" s="2" t="s">
        <v>181</v>
      </c>
      <c r="D862" s="2" t="s">
        <v>1215</v>
      </c>
      <c r="E862" s="2" t="s">
        <v>38</v>
      </c>
      <c r="F862" s="2" t="s">
        <v>2107</v>
      </c>
      <c r="G862" s="2" t="s">
        <v>2059</v>
      </c>
      <c r="H862" s="56" t="str">
        <f>Table1[[#This Row],[Tabela]]&amp;Table1[[#This Row],[Campo]]</f>
        <v>modesg_param_sfics_taxon_europeiaco2</v>
      </c>
      <c r="I862" s="2" t="s">
        <v>2339</v>
      </c>
      <c r="J862" s="54">
        <f>VLOOKUP(Table1[[#This Row],[Status]],Auxiliar!$B$16:$C$24,2,0)</f>
        <v>3</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0.25</v>
      </c>
      <c r="X862" s="2"/>
    </row>
    <row r="863" spans="2:24" ht="17.850000000000001" customHeight="1">
      <c r="B863" s="2" t="s">
        <v>26</v>
      </c>
      <c r="C863" s="2" t="s">
        <v>181</v>
      </c>
      <c r="D863" s="2" t="s">
        <v>1215</v>
      </c>
      <c r="E863" s="2" t="s">
        <v>38</v>
      </c>
      <c r="F863" s="2" t="s">
        <v>2107</v>
      </c>
      <c r="G863" s="2" t="s">
        <v>190</v>
      </c>
      <c r="H863" s="56" t="str">
        <f>Table1[[#This Row],[Tabela]]&amp;Table1[[#This Row],[Campo]]</f>
        <v>modesg_param_sfics_taxon_europeiacod_lease</v>
      </c>
      <c r="I863" s="2" t="s">
        <v>2339</v>
      </c>
      <c r="J863" s="42">
        <f>VLOOKUP(Table1[[#This Row],[Status]],Auxiliar!$B$16:$C$24,2,0)</f>
        <v>3</v>
      </c>
      <c r="K863" s="2" t="s">
        <v>1183</v>
      </c>
      <c r="L863" s="28" t="s">
        <v>641</v>
      </c>
      <c r="M863" s="20" t="s">
        <v>1179</v>
      </c>
      <c r="N863" s="47">
        <v>45695</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0.25</v>
      </c>
      <c r="X863" s="2"/>
    </row>
    <row r="864" spans="2:24" ht="17.850000000000001" customHeight="1">
      <c r="B864" s="2" t="s">
        <v>26</v>
      </c>
      <c r="C864" s="2" t="s">
        <v>181</v>
      </c>
      <c r="D864" s="2" t="s">
        <v>1215</v>
      </c>
      <c r="E864" s="2" t="s">
        <v>38</v>
      </c>
      <c r="F864" s="2" t="s">
        <v>2107</v>
      </c>
      <c r="G864" s="2" t="s">
        <v>2062</v>
      </c>
      <c r="H864" s="56" t="str">
        <f>Table1[[#This Row],[Tabela]]&amp;Table1[[#This Row],[Campo]]</f>
        <v>modesg_param_sfics_taxon_europeiadabertur</v>
      </c>
      <c r="I864" s="2" t="s">
        <v>2339</v>
      </c>
      <c r="J864" s="42">
        <f>VLOOKUP(Table1[[#This Row],[Status]],Auxiliar!$B$16:$C$24,2,0)</f>
        <v>3</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0.25</v>
      </c>
      <c r="X864" s="2"/>
    </row>
    <row r="865" spans="2:24" ht="17.850000000000001" customHeight="1">
      <c r="B865" s="2" t="s">
        <v>26</v>
      </c>
      <c r="C865" s="2" t="s">
        <v>181</v>
      </c>
      <c r="D865" s="2" t="s">
        <v>1215</v>
      </c>
      <c r="E865" s="2" t="s">
        <v>38</v>
      </c>
      <c r="F865" s="2" t="s">
        <v>2107</v>
      </c>
      <c r="G865" s="2" t="s">
        <v>2057</v>
      </c>
      <c r="H865" s="56" t="str">
        <f>Table1[[#This Row],[Tabela]]&amp;Table1[[#This Row],[Campo]]</f>
        <v>modesg_param_sfics_taxon_europeiaflg_csrd</v>
      </c>
      <c r="I865" s="2" t="s">
        <v>2339</v>
      </c>
      <c r="J865" s="42">
        <f>VLOOKUP(Table1[[#This Row],[Status]],Auxiliar!$B$16:$C$24,2,0)</f>
        <v>3</v>
      </c>
      <c r="K865" s="2" t="s">
        <v>1183</v>
      </c>
      <c r="L865" s="28" t="s">
        <v>641</v>
      </c>
      <c r="M865" s="20" t="s">
        <v>1180</v>
      </c>
      <c r="N865" s="47">
        <v>45695</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0.25</v>
      </c>
      <c r="X865" s="2"/>
    </row>
    <row r="866" spans="2:24" ht="17.850000000000001" customHeight="1">
      <c r="B866" s="2" t="s">
        <v>26</v>
      </c>
      <c r="C866" s="2" t="s">
        <v>181</v>
      </c>
      <c r="D866" s="2" t="s">
        <v>1215</v>
      </c>
      <c r="E866" s="2" t="s">
        <v>38</v>
      </c>
      <c r="F866" s="2" t="s">
        <v>2107</v>
      </c>
      <c r="G866" s="2" t="s">
        <v>2055</v>
      </c>
      <c r="H866" s="56" t="str">
        <f>Table1[[#This Row],[Tabela]]&amp;Table1[[#This Row],[Campo]]</f>
        <v>modesg_param_sfics_taxon_europeianome_ctgr_sfics</v>
      </c>
      <c r="I866" s="2" t="s">
        <v>2339</v>
      </c>
      <c r="J866" s="42">
        <f>VLOOKUP(Table1[[#This Row],[Status]],Auxiliar!$B$16:$C$24,2,0)</f>
        <v>3</v>
      </c>
      <c r="K866" s="2" t="s">
        <v>1183</v>
      </c>
      <c r="L866" s="28" t="s">
        <v>641</v>
      </c>
      <c r="M866" s="20" t="s">
        <v>1180</v>
      </c>
      <c r="N866" s="47">
        <v>45695</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0.25</v>
      </c>
      <c r="X866" s="2"/>
    </row>
    <row r="867" spans="2:24" ht="17.850000000000001" customHeight="1">
      <c r="B867" s="2" t="s">
        <v>26</v>
      </c>
      <c r="C867" s="2" t="s">
        <v>181</v>
      </c>
      <c r="D867" s="2" t="s">
        <v>1215</v>
      </c>
      <c r="E867" s="2" t="s">
        <v>38</v>
      </c>
      <c r="F867" s="2" t="s">
        <v>2107</v>
      </c>
      <c r="G867" s="2" t="s">
        <v>202</v>
      </c>
      <c r="H867" s="56" t="str">
        <f>Table1[[#This Row],[Tabela]]&amp;Table1[[#This Row],[Campo]]</f>
        <v>modesg_param_sfics_taxon_europeiamontante_pndrc</v>
      </c>
      <c r="I867" s="2" t="s">
        <v>2339</v>
      </c>
      <c r="J867" s="42">
        <f>VLOOKUP(Table1[[#This Row],[Status]],Auxiliar!$B$16:$C$24,2,0)</f>
        <v>3</v>
      </c>
      <c r="K867" s="2" t="s">
        <v>1183</v>
      </c>
      <c r="L867" s="28" t="s">
        <v>641</v>
      </c>
      <c r="M867" s="20" t="s">
        <v>1179</v>
      </c>
      <c r="N867" s="47">
        <v>45695</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0.25</v>
      </c>
      <c r="X867" s="2"/>
    </row>
    <row r="868" spans="2:24" ht="17.85000000000000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2339</v>
      </c>
      <c r="J868" s="42">
        <f>VLOOKUP(Table1[[#This Row],[Status]],Auxiliar!$B$16:$C$24,2,0)</f>
        <v>3</v>
      </c>
      <c r="K868" s="2" t="s">
        <v>1183</v>
      </c>
      <c r="L868" s="28" t="s">
        <v>641</v>
      </c>
      <c r="M868" s="20" t="s">
        <v>1179</v>
      </c>
      <c r="N868" s="47">
        <v>45695</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0.25</v>
      </c>
      <c r="X868" s="2"/>
    </row>
    <row r="869" spans="2:24" ht="17.85000000000000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2339</v>
      </c>
      <c r="J869" s="42">
        <f>VLOOKUP(Table1[[#This Row],[Status]],Auxiliar!$B$16:$C$24,2,0)</f>
        <v>3</v>
      </c>
      <c r="K869" s="2" t="s">
        <v>1183</v>
      </c>
      <c r="L869" s="28" t="s">
        <v>1178</v>
      </c>
      <c r="M869" s="20" t="s">
        <v>1179</v>
      </c>
      <c r="N869" s="47">
        <v>45695</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0.25</v>
      </c>
      <c r="X869" s="2"/>
    </row>
    <row r="870" spans="2:24" ht="17.85000000000000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2339</v>
      </c>
      <c r="J870" s="42">
        <f>VLOOKUP(Table1[[#This Row],[Status]],Auxiliar!$B$16:$C$24,2,0)</f>
        <v>3</v>
      </c>
      <c r="K870" s="2" t="s">
        <v>1183</v>
      </c>
      <c r="L870" s="28" t="s">
        <v>1178</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0.25</v>
      </c>
      <c r="X870" s="2"/>
    </row>
    <row r="871" spans="2:24" ht="69.599999999999994"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2339</v>
      </c>
      <c r="J871" s="42">
        <f>VLOOKUP(Table1[[#This Row],[Status]],Auxiliar!$B$16:$C$24,2,0)</f>
        <v>3</v>
      </c>
      <c r="K871" s="2" t="s">
        <v>1183</v>
      </c>
      <c r="L871" s="28" t="s">
        <v>1178</v>
      </c>
      <c r="M871" s="20" t="s">
        <v>1179</v>
      </c>
      <c r="N871" s="47">
        <v>45695</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0.25</v>
      </c>
      <c r="X871" s="2"/>
    </row>
    <row r="872" spans="2:24" ht="69.599999999999994"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2339</v>
      </c>
      <c r="J872" s="42">
        <f>VLOOKUP(Table1[[#This Row],[Status]],Auxiliar!$B$16:$C$24,2,0)</f>
        <v>3</v>
      </c>
      <c r="K872" s="2" t="s">
        <v>1183</v>
      </c>
      <c r="L872" s="28" t="s">
        <v>1178</v>
      </c>
      <c r="M872" s="20" t="s">
        <v>1179</v>
      </c>
      <c r="N872" s="47">
        <v>45695</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0.25</v>
      </c>
      <c r="X872" s="2"/>
    </row>
    <row r="873" spans="2:24" ht="17.850000000000001" customHeight="1">
      <c r="B873" s="2" t="s">
        <v>26</v>
      </c>
      <c r="C873" s="2" t="s">
        <v>181</v>
      </c>
      <c r="D873" s="2" t="s">
        <v>1215</v>
      </c>
      <c r="E873" s="2" t="s">
        <v>38</v>
      </c>
      <c r="F873" s="2" t="s">
        <v>2107</v>
      </c>
      <c r="G873" s="2" t="s">
        <v>208</v>
      </c>
      <c r="H873" s="56" t="str">
        <f>Table1[[#This Row],[Tabela]]&amp;Table1[[#This Row],[Campo]]</f>
        <v>modesg_param_sfics_taxon_europeiaref_date</v>
      </c>
      <c r="I873" s="2" t="s">
        <v>2339</v>
      </c>
      <c r="J873" s="54">
        <f>VLOOKUP(Table1[[#This Row],[Status]],Auxiliar!$B$16:$C$24,2,0)</f>
        <v>3</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0.05</v>
      </c>
      <c r="X873" s="2"/>
    </row>
    <row r="874" spans="2:24" ht="17.850000000000001" customHeight="1">
      <c r="B874" s="2" t="s">
        <v>26</v>
      </c>
      <c r="C874" s="2" t="s">
        <v>181</v>
      </c>
      <c r="D874" s="2" t="s">
        <v>1215</v>
      </c>
      <c r="E874" s="2" t="s">
        <v>38</v>
      </c>
      <c r="F874" s="2" t="s">
        <v>2107</v>
      </c>
      <c r="G874" s="2" t="s">
        <v>191</v>
      </c>
      <c r="H874" s="56" t="str">
        <f>Table1[[#This Row],[Tabela]]&amp;Table1[[#This Row],[Campo]]</f>
        <v>modesg_param_sfics_taxon_europeiacod_regra</v>
      </c>
      <c r="I874" s="2" t="s">
        <v>2339</v>
      </c>
      <c r="J874" s="54">
        <f>VLOOKUP(Table1[[#This Row],[Status]],Auxiliar!$B$16:$C$24,2,0)</f>
        <v>3</v>
      </c>
      <c r="K874" s="2" t="s">
        <v>1175</v>
      </c>
      <c r="L874" s="28" t="s">
        <v>1178</v>
      </c>
      <c r="M874" s="20" t="s">
        <v>1179</v>
      </c>
      <c r="N874" s="47">
        <v>45695</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0.05</v>
      </c>
      <c r="X874" s="2"/>
    </row>
    <row r="875" spans="2:24" ht="17.850000000000001" customHeight="1">
      <c r="B875" s="2" t="s">
        <v>26</v>
      </c>
      <c r="C875" s="2" t="s">
        <v>181</v>
      </c>
      <c r="D875" s="2" t="s">
        <v>1215</v>
      </c>
      <c r="E875" s="2" t="s">
        <v>38</v>
      </c>
      <c r="F875" s="2" t="s">
        <v>2107</v>
      </c>
      <c r="G875" s="2" t="s">
        <v>197</v>
      </c>
      <c r="H875" s="56" t="str">
        <f>Table1[[#This Row],[Tabela]]&amp;Table1[[#This Row],[Campo]]</f>
        <v>modesg_param_sfics_taxon_europeiadscrc</v>
      </c>
      <c r="I875" s="2" t="s">
        <v>2339</v>
      </c>
      <c r="J875" s="54">
        <f>VLOOKUP(Table1[[#This Row],[Status]],Auxiliar!$B$16:$C$24,2,0)</f>
        <v>3</v>
      </c>
      <c r="K875" s="2" t="s">
        <v>1175</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customHeight="1">
      <c r="B876" s="2" t="s">
        <v>26</v>
      </c>
      <c r="C876" s="2" t="s">
        <v>181</v>
      </c>
      <c r="D876" s="2" t="s">
        <v>1215</v>
      </c>
      <c r="E876" s="2" t="s">
        <v>38</v>
      </c>
      <c r="F876" s="2" t="s">
        <v>2107</v>
      </c>
      <c r="G876" s="2" t="s">
        <v>192</v>
      </c>
      <c r="H876" s="56" t="str">
        <f>Table1[[#This Row],[Tabela]]&amp;Table1[[#This Row],[Campo]]</f>
        <v>modesg_param_sfics_taxon_europeiacomite</v>
      </c>
      <c r="I876" s="2" t="s">
        <v>2339</v>
      </c>
      <c r="J876" s="54">
        <f>VLOOKUP(Table1[[#This Row],[Status]],Auxiliar!$B$16:$C$24,2,0)</f>
        <v>3</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customHeight="1">
      <c r="B877" s="2" t="s">
        <v>26</v>
      </c>
      <c r="C877" s="2" t="s">
        <v>181</v>
      </c>
      <c r="D877" s="2" t="s">
        <v>1215</v>
      </c>
      <c r="E877" s="2" t="s">
        <v>38</v>
      </c>
      <c r="F877" s="2" t="s">
        <v>2107</v>
      </c>
      <c r="G877" s="2" t="s">
        <v>193</v>
      </c>
      <c r="H877" s="56" t="str">
        <f>Table1[[#This Row],[Tabela]]&amp;Table1[[#This Row],[Campo]]</f>
        <v>modesg_param_sfics_taxon_europeiadata_aprvc</v>
      </c>
      <c r="I877" s="2" t="s">
        <v>2339</v>
      </c>
      <c r="J877" s="54">
        <f>VLOOKUP(Table1[[#This Row],[Status]],Auxiliar!$B$16:$C$24,2,0)</f>
        <v>3</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customHeight="1">
      <c r="B878" s="2" t="s">
        <v>26</v>
      </c>
      <c r="C878" s="2" t="s">
        <v>181</v>
      </c>
      <c r="D878" s="2" t="s">
        <v>1215</v>
      </c>
      <c r="E878" s="2" t="s">
        <v>38</v>
      </c>
      <c r="F878" s="2" t="s">
        <v>2107</v>
      </c>
      <c r="G878" s="2" t="s">
        <v>195</v>
      </c>
      <c r="H878" s="56" t="str">
        <f>Table1[[#This Row],[Tabela]]&amp;Table1[[#This Row],[Campo]]</f>
        <v>modesg_param_sfics_taxon_europeiadata_inicial</v>
      </c>
      <c r="I878" s="2" t="s">
        <v>2339</v>
      </c>
      <c r="J878" s="54">
        <f>VLOOKUP(Table1[[#This Row],[Status]],Auxiliar!$B$16:$C$24,2,0)</f>
        <v>3</v>
      </c>
      <c r="K878" s="2" t="s">
        <v>1175</v>
      </c>
      <c r="L878" s="28"/>
      <c r="M878" s="20"/>
      <c r="N878" s="47">
        <v>45695</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customHeight="1">
      <c r="B879" s="2" t="s">
        <v>26</v>
      </c>
      <c r="C879" s="2" t="s">
        <v>181</v>
      </c>
      <c r="D879" s="2" t="s">
        <v>1215</v>
      </c>
      <c r="E879" s="2" t="s">
        <v>38</v>
      </c>
      <c r="F879" s="2" t="s">
        <v>2107</v>
      </c>
      <c r="G879" s="2" t="s">
        <v>194</v>
      </c>
      <c r="H879" s="56" t="str">
        <f>Table1[[#This Row],[Tabela]]&amp;Table1[[#This Row],[Campo]]</f>
        <v>modesg_param_sfics_taxon_europeiadata_final</v>
      </c>
      <c r="I879" s="2" t="s">
        <v>2339</v>
      </c>
      <c r="J879" s="54">
        <f>VLOOKUP(Table1[[#This Row],[Status]],Auxiliar!$B$16:$C$24,2,0)</f>
        <v>3</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customHeight="1">
      <c r="B880" s="2" t="s">
        <v>26</v>
      </c>
      <c r="C880" s="2" t="s">
        <v>181</v>
      </c>
      <c r="D880" s="2" t="s">
        <v>1215</v>
      </c>
      <c r="E880" s="2" t="s">
        <v>38</v>
      </c>
      <c r="F880" s="2" t="s">
        <v>2107</v>
      </c>
      <c r="G880" s="2" t="s">
        <v>209</v>
      </c>
      <c r="H880" s="56" t="str">
        <f>Table1[[#This Row],[Tabela]]&amp;Table1[[#This Row],[Campo]]</f>
        <v>modesg_param_sfics_taxon_europeiazcliente</v>
      </c>
      <c r="I880" s="2" t="s">
        <v>2339</v>
      </c>
      <c r="J880" s="54">
        <f>VLOOKUP(Table1[[#This Row],[Status]],Auxiliar!$B$16:$C$24,2,0)</f>
        <v>3</v>
      </c>
      <c r="K880" s="2" t="s">
        <v>1175</v>
      </c>
      <c r="L880" s="28"/>
      <c r="M880" s="20"/>
      <c r="N880" s="47">
        <v>45695</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customHeight="1">
      <c r="B881" s="2" t="s">
        <v>26</v>
      </c>
      <c r="C881" s="2" t="s">
        <v>181</v>
      </c>
      <c r="D881" s="2" t="s">
        <v>1215</v>
      </c>
      <c r="E881" s="2" t="s">
        <v>38</v>
      </c>
      <c r="F881" s="2" t="s">
        <v>2107</v>
      </c>
      <c r="G881" s="2" t="s">
        <v>394</v>
      </c>
      <c r="H881" s="56" t="str">
        <f>Table1[[#This Row],[Tabela]]&amp;Table1[[#This Row],[Campo]]</f>
        <v>modesg_param_sfics_taxon_europeiacontraparte</v>
      </c>
      <c r="I881" s="2" t="s">
        <v>2339</v>
      </c>
      <c r="J881" s="54">
        <f>VLOOKUP(Table1[[#This Row],[Status]],Auxiliar!$B$16:$C$24,2,0)</f>
        <v>3</v>
      </c>
      <c r="K881" s="2" t="s">
        <v>1175</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customHeight="1">
      <c r="B882" s="2" t="s">
        <v>26</v>
      </c>
      <c r="C882" s="2" t="s">
        <v>181</v>
      </c>
      <c r="D882" s="2" t="s">
        <v>1215</v>
      </c>
      <c r="E882" s="2" t="s">
        <v>38</v>
      </c>
      <c r="F882" s="2" t="s">
        <v>2107</v>
      </c>
      <c r="G882" s="2" t="s">
        <v>184</v>
      </c>
      <c r="H882" s="56" t="str">
        <f>Table1[[#This Row],[Tabela]]&amp;Table1[[#This Row],[Campo]]</f>
        <v>modesg_param_sfics_taxon_europeiacempresa</v>
      </c>
      <c r="I882" s="2" t="s">
        <v>2339</v>
      </c>
      <c r="J882" s="54">
        <f>VLOOKUP(Table1[[#This Row],[Status]],Auxiliar!$B$16:$C$24,2,0)</f>
        <v>3</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customHeight="1">
      <c r="B883" s="2" t="s">
        <v>26</v>
      </c>
      <c r="C883" s="2" t="s">
        <v>181</v>
      </c>
      <c r="D883" s="2" t="s">
        <v>1215</v>
      </c>
      <c r="E883" s="2" t="s">
        <v>38</v>
      </c>
      <c r="F883" s="2" t="s">
        <v>2107</v>
      </c>
      <c r="G883" s="2" t="s">
        <v>183</v>
      </c>
      <c r="H883" s="56" t="str">
        <f>Table1[[#This Row],[Tabela]]&amp;Table1[[#This Row],[Campo]]</f>
        <v>modesg_param_sfics_taxon_europeiacbalcao</v>
      </c>
      <c r="I883" s="2" t="s">
        <v>2339</v>
      </c>
      <c r="J883" s="54">
        <f>VLOOKUP(Table1[[#This Row],[Status]],Auxiliar!$B$16:$C$24,2,0)</f>
        <v>3</v>
      </c>
      <c r="K883" s="2" t="s">
        <v>1175</v>
      </c>
      <c r="L883" s="28"/>
      <c r="M883" s="20"/>
      <c r="N883" s="47">
        <v>45695</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customHeight="1">
      <c r="B884" s="2" t="s">
        <v>26</v>
      </c>
      <c r="C884" s="2" t="s">
        <v>181</v>
      </c>
      <c r="D884" s="2" t="s">
        <v>1215</v>
      </c>
      <c r="E884" s="2" t="s">
        <v>38</v>
      </c>
      <c r="F884" s="2" t="s">
        <v>2107</v>
      </c>
      <c r="G884" s="2" t="s">
        <v>189</v>
      </c>
      <c r="H884" s="56" t="str">
        <f>Table1[[#This Row],[Tabela]]&amp;Table1[[#This Row],[Campo]]</f>
        <v>modesg_param_sfics_taxon_europeiacnumecta</v>
      </c>
      <c r="I884" s="2" t="s">
        <v>2339</v>
      </c>
      <c r="J884" s="54">
        <f>VLOOKUP(Table1[[#This Row],[Status]],Auxiliar!$B$16:$C$24,2,0)</f>
        <v>3</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customHeight="1">
      <c r="B885" s="2" t="s">
        <v>26</v>
      </c>
      <c r="C885" s="2" t="s">
        <v>181</v>
      </c>
      <c r="D885" s="2" t="s">
        <v>1215</v>
      </c>
      <c r="E885" s="2" t="s">
        <v>38</v>
      </c>
      <c r="F885" s="2" t="s">
        <v>2107</v>
      </c>
      <c r="G885" s="2" t="s">
        <v>210</v>
      </c>
      <c r="H885" s="56" t="str">
        <f>Table1[[#This Row],[Tabela]]&amp;Table1[[#This Row],[Campo]]</f>
        <v>modesg_param_sfics_taxon_europeiazdeposit</v>
      </c>
      <c r="I885" s="2" t="s">
        <v>2339</v>
      </c>
      <c r="J885" s="54">
        <f>VLOOKUP(Table1[[#This Row],[Status]],Auxiliar!$B$16:$C$24,2,0)</f>
        <v>3</v>
      </c>
      <c r="K885" s="2" t="s">
        <v>1175</v>
      </c>
      <c r="L885" s="28"/>
      <c r="M885" s="20"/>
      <c r="N885" s="47">
        <v>45695</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customHeight="1">
      <c r="B886" s="2" t="s">
        <v>26</v>
      </c>
      <c r="C886" s="2" t="s">
        <v>181</v>
      </c>
      <c r="D886" s="2" t="s">
        <v>1215</v>
      </c>
      <c r="E886" s="2" t="s">
        <v>38</v>
      </c>
      <c r="F886" s="2" t="s">
        <v>2107</v>
      </c>
      <c r="G886" s="2" t="s">
        <v>185</v>
      </c>
      <c r="H886" s="56" t="str">
        <f>Table1[[#This Row],[Tabela]]&amp;Table1[[#This Row],[Campo]]</f>
        <v>modesg_param_sfics_taxon_europeiackmetamis</v>
      </c>
      <c r="I886" s="2" t="s">
        <v>2339</v>
      </c>
      <c r="J886" s="54">
        <f>VLOOKUP(Table1[[#This Row],[Status]],Auxiliar!$B$16:$C$24,2,0)</f>
        <v>3</v>
      </c>
      <c r="K886" s="2" t="s">
        <v>1175</v>
      </c>
      <c r="L886" s="28"/>
      <c r="M886" s="20"/>
      <c r="N886" s="47">
        <v>45695</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customHeight="1">
      <c r="B887" s="2" t="s">
        <v>26</v>
      </c>
      <c r="C887" s="2" t="s">
        <v>181</v>
      </c>
      <c r="D887" s="2" t="s">
        <v>1215</v>
      </c>
      <c r="E887" s="2" t="s">
        <v>38</v>
      </c>
      <c r="F887" s="2" t="s">
        <v>2107</v>
      </c>
      <c r="G887" s="2" t="s">
        <v>186</v>
      </c>
      <c r="H887" s="56" t="str">
        <f>Table1[[#This Row],[Tabela]]&amp;Table1[[#This Row],[Campo]]</f>
        <v>modesg_param_sfics_taxon_europeiackprodmi</v>
      </c>
      <c r="I887" s="2" t="s">
        <v>2339</v>
      </c>
      <c r="J887" s="54">
        <f>VLOOKUP(Table1[[#This Row],[Status]],Auxiliar!$B$16:$C$24,2,0)</f>
        <v>3</v>
      </c>
      <c r="K887" s="2" t="s">
        <v>1175</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customHeight="1">
      <c r="B888" s="2" t="s">
        <v>26</v>
      </c>
      <c r="C888" s="2" t="s">
        <v>181</v>
      </c>
      <c r="D888" s="2" t="s">
        <v>1215</v>
      </c>
      <c r="E888" s="2" t="s">
        <v>38</v>
      </c>
      <c r="F888" s="2" t="s">
        <v>2107</v>
      </c>
      <c r="G888" s="2" t="s">
        <v>2056</v>
      </c>
      <c r="H888" s="56" t="str">
        <f>Table1[[#This Row],[Tabela]]&amp;Table1[[#This Row],[Campo]]</f>
        <v>modesg_param_sfics_taxon_europeiaprdt_sprdt</v>
      </c>
      <c r="I888" s="2" t="s">
        <v>2339</v>
      </c>
      <c r="J888" s="54">
        <f>VLOOKUP(Table1[[#This Row],[Status]],Auxiliar!$B$16:$C$24,2,0)</f>
        <v>3</v>
      </c>
      <c r="K888" s="2" t="s">
        <v>1175</v>
      </c>
      <c r="L888" s="28"/>
      <c r="M888" s="20"/>
      <c r="N888" s="47">
        <v>45695</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customHeight="1">
      <c r="B889" s="2" t="s">
        <v>26</v>
      </c>
      <c r="C889" s="2" t="s">
        <v>181</v>
      </c>
      <c r="D889" s="2" t="s">
        <v>1215</v>
      </c>
      <c r="E889" s="2" t="s">
        <v>38</v>
      </c>
      <c r="F889" s="2" t="s">
        <v>2107</v>
      </c>
      <c r="G889" s="2" t="s">
        <v>187</v>
      </c>
      <c r="H889" s="56" t="str">
        <f>Table1[[#This Row],[Tabela]]&amp;Table1[[#This Row],[Campo]]</f>
        <v>modesg_param_sfics_taxon_europeiacmetanseg</v>
      </c>
      <c r="I889" s="2" t="s">
        <v>2339</v>
      </c>
      <c r="J889" s="54">
        <f>VLOOKUP(Table1[[#This Row],[Status]],Auxiliar!$B$16:$C$24,2,0)</f>
        <v>3</v>
      </c>
      <c r="K889" s="2" t="s">
        <v>1175</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customHeight="1">
      <c r="B890" s="2" t="s">
        <v>26</v>
      </c>
      <c r="C890" s="2" t="s">
        <v>181</v>
      </c>
      <c r="D890" s="2" t="s">
        <v>1215</v>
      </c>
      <c r="E890" s="2" t="s">
        <v>38</v>
      </c>
      <c r="F890" s="2" t="s">
        <v>2107</v>
      </c>
      <c r="G890" s="2" t="s">
        <v>198</v>
      </c>
      <c r="H890" s="56" t="str">
        <f>Table1[[#This Row],[Tabela]]&amp;Table1[[#This Row],[Campo]]</f>
        <v>modesg_param_sfics_taxon_europeiaepc</v>
      </c>
      <c r="I890" s="2" t="s">
        <v>2339</v>
      </c>
      <c r="J890" s="54">
        <f>VLOOKUP(Table1[[#This Row],[Status]],Auxiliar!$B$16:$C$24,2,0)</f>
        <v>3</v>
      </c>
      <c r="K890" s="2" t="s">
        <v>1175</v>
      </c>
      <c r="L890" s="28"/>
      <c r="M890" s="20"/>
      <c r="N890" s="47">
        <v>45695</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customHeight="1">
      <c r="B891" s="2" t="s">
        <v>26</v>
      </c>
      <c r="C891" s="2" t="s">
        <v>181</v>
      </c>
      <c r="D891" s="2" t="s">
        <v>1215</v>
      </c>
      <c r="E891" s="2" t="s">
        <v>38</v>
      </c>
      <c r="F891" s="2" t="s">
        <v>2107</v>
      </c>
      <c r="G891" s="2" t="s">
        <v>2065</v>
      </c>
      <c r="H891" s="56" t="str">
        <f>Table1[[#This Row],[Tabela]]&amp;Table1[[#This Row],[Campo]]</f>
        <v>modesg_param_sfics_taxon_europeiaquality_score</v>
      </c>
      <c r="I891" s="2" t="s">
        <v>2339</v>
      </c>
      <c r="J891" s="54">
        <f>VLOOKUP(Table1[[#This Row],[Status]],Auxiliar!$B$16:$C$24,2,0)</f>
        <v>3</v>
      </c>
      <c r="K891" s="2" t="s">
        <v>1175</v>
      </c>
      <c r="L891" s="28"/>
      <c r="M891" s="20"/>
      <c r="N891" s="47">
        <v>45695</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customHeight="1">
      <c r="B892" s="2" t="s">
        <v>26</v>
      </c>
      <c r="C892" s="2" t="s">
        <v>181</v>
      </c>
      <c r="D892" s="2" t="s">
        <v>1215</v>
      </c>
      <c r="E892" s="2" t="s">
        <v>38</v>
      </c>
      <c r="F892" s="2" t="s">
        <v>2107</v>
      </c>
      <c r="G892" s="2" t="s">
        <v>2066</v>
      </c>
      <c r="H892" s="56" t="str">
        <f>Table1[[#This Row],[Tabela]]&amp;Table1[[#This Row],[Campo]]</f>
        <v>modesg_param_sfics_taxon_europeianzeb</v>
      </c>
      <c r="I892" s="2" t="s">
        <v>2339</v>
      </c>
      <c r="J892" s="54">
        <f>VLOOKUP(Table1[[#This Row],[Status]],Auxiliar!$B$16:$C$24,2,0)</f>
        <v>3</v>
      </c>
      <c r="K892" s="2" t="s">
        <v>1175</v>
      </c>
      <c r="L892" s="28"/>
      <c r="M892" s="20"/>
      <c r="N892" s="47">
        <v>45695</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customHeight="1">
      <c r="B893" s="2" t="s">
        <v>26</v>
      </c>
      <c r="C893" s="2" t="s">
        <v>181</v>
      </c>
      <c r="D893" s="2" t="s">
        <v>1215</v>
      </c>
      <c r="E893" s="2" t="s">
        <v>38</v>
      </c>
      <c r="F893" s="2" t="s">
        <v>2107</v>
      </c>
      <c r="G893" s="2" t="s">
        <v>2067</v>
      </c>
      <c r="H893" s="56" t="str">
        <f>Table1[[#This Row],[Tabela]]&amp;Table1[[#This Row],[Campo]]</f>
        <v>modesg_param_sfics_taxon_europeiaRIEE</v>
      </c>
      <c r="I893" s="2" t="s">
        <v>2339</v>
      </c>
      <c r="J893" s="54">
        <f>VLOOKUP(Table1[[#This Row],[Status]],Auxiliar!$B$16:$C$24,2,0)</f>
        <v>3</v>
      </c>
      <c r="K893" s="2" t="s">
        <v>1175</v>
      </c>
      <c r="L893" s="28"/>
      <c r="M893" s="20"/>
      <c r="N893" s="47">
        <v>45695</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1215</v>
      </c>
      <c r="E894" s="2" t="s">
        <v>38</v>
      </c>
      <c r="F894" s="2" t="s">
        <v>2107</v>
      </c>
      <c r="G894" s="2" t="s">
        <v>2068</v>
      </c>
      <c r="H894" s="56" t="str">
        <f>Table1[[#This Row],[Tabela]]&amp;Table1[[#This Row],[Campo]]</f>
        <v>modesg_param_sfics_taxon_europeiaRNT</v>
      </c>
      <c r="I894" s="2" t="s">
        <v>2339</v>
      </c>
      <c r="J894" s="54">
        <f>VLOOKUP(Table1[[#This Row],[Status]],Auxiliar!$B$16:$C$24,2,0)</f>
        <v>3</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customHeight="1">
      <c r="B895" s="2" t="s">
        <v>26</v>
      </c>
      <c r="C895" s="2" t="s">
        <v>181</v>
      </c>
      <c r="D895" s="2" t="s">
        <v>1215</v>
      </c>
      <c r="E895" s="2" t="s">
        <v>38</v>
      </c>
      <c r="F895" s="2" t="s">
        <v>2107</v>
      </c>
      <c r="G895" s="2" t="s">
        <v>283</v>
      </c>
      <c r="H895" s="56" t="str">
        <f>Table1[[#This Row],[Tabela]]&amp;Table1[[#This Row],[Campo]]</f>
        <v>modesg_param_sfics_taxon_europeiaflg_rsc_fsc_crnc</v>
      </c>
      <c r="I895" s="2" t="s">
        <v>2339</v>
      </c>
      <c r="J895" s="54">
        <f>VLOOKUP(Table1[[#This Row],[Status]],Auxiliar!$B$16:$C$24,2,0)</f>
        <v>3</v>
      </c>
      <c r="K895" s="2" t="s">
        <v>1175</v>
      </c>
      <c r="L895" s="28"/>
      <c r="M895" s="20"/>
      <c r="N895" s="47">
        <v>45695</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customHeight="1">
      <c r="B896" s="2" t="s">
        <v>26</v>
      </c>
      <c r="C896" s="2" t="s">
        <v>181</v>
      </c>
      <c r="D896" s="2" t="s">
        <v>1215</v>
      </c>
      <c r="E896" s="2" t="s">
        <v>38</v>
      </c>
      <c r="F896" s="2" t="s">
        <v>2107</v>
      </c>
      <c r="G896" s="2" t="s">
        <v>282</v>
      </c>
      <c r="H896" s="56" t="str">
        <f>Table1[[#This Row],[Tabela]]&amp;Table1[[#This Row],[Campo]]</f>
        <v>modesg_param_sfics_taxon_europeiaflg_rsc_fsc_agd</v>
      </c>
      <c r="I896" s="2" t="s">
        <v>2339</v>
      </c>
      <c r="J896" s="54">
        <f>VLOOKUP(Table1[[#This Row],[Status]],Auxiliar!$B$16:$C$24,2,0)</f>
        <v>3</v>
      </c>
      <c r="K896" s="2" t="s">
        <v>1175</v>
      </c>
      <c r="L896" s="28"/>
      <c r="M896" s="20"/>
      <c r="N896" s="47">
        <v>45695</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2339</v>
      </c>
      <c r="J897" s="54">
        <f>VLOOKUP(Table1[[#This Row],[Status]],Auxiliar!$B$16:$C$24,2,0)</f>
        <v>3</v>
      </c>
      <c r="K897" s="2" t="s">
        <v>1175</v>
      </c>
      <c r="L897" s="28"/>
      <c r="M897" s="20"/>
      <c r="N897" s="47">
        <v>45695</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5000000000000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2339</v>
      </c>
      <c r="J898" s="54">
        <f>VLOOKUP(Table1[[#This Row],[Status]],Auxiliar!$B$16:$C$24,2,0)</f>
        <v>3</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50000000000001" customHeight="1">
      <c r="B899" s="2" t="s">
        <v>26</v>
      </c>
      <c r="C899" s="2" t="s">
        <v>181</v>
      </c>
      <c r="D899" s="2" t="s">
        <v>1215</v>
      </c>
      <c r="E899" s="2" t="s">
        <v>38</v>
      </c>
      <c r="F899" s="2" t="s">
        <v>2107</v>
      </c>
      <c r="G899" s="2" t="s">
        <v>2060</v>
      </c>
      <c r="H899" s="56" t="str">
        <f>Table1[[#This Row],[Tabela]]&amp;Table1[[#This Row],[Campo]]</f>
        <v>modesg_param_sfics_taxon_europeiacfamilia</v>
      </c>
      <c r="I899" s="2" t="s">
        <v>2339</v>
      </c>
      <c r="J899" s="54">
        <f>VLOOKUP(Table1[[#This Row],[Status]],Auxiliar!$B$16:$C$24,2,0)</f>
        <v>3</v>
      </c>
      <c r="K899" s="2" t="s">
        <v>1175</v>
      </c>
      <c r="L899" s="28" t="s">
        <v>1178</v>
      </c>
      <c r="M899" s="20" t="s">
        <v>1179</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0.05</v>
      </c>
      <c r="X899" s="2"/>
    </row>
    <row r="900" spans="2:24" ht="17.850000000000001" customHeight="1">
      <c r="B900" s="2" t="s">
        <v>26</v>
      </c>
      <c r="C900" s="2" t="s">
        <v>181</v>
      </c>
      <c r="D900" s="2" t="s">
        <v>1215</v>
      </c>
      <c r="E900" s="2" t="s">
        <v>38</v>
      </c>
      <c r="F900" s="2" t="s">
        <v>2107</v>
      </c>
      <c r="G900" s="2" t="s">
        <v>200</v>
      </c>
      <c r="H900" s="56" t="str">
        <f>Table1[[#This Row],[Tabela]]&amp;Table1[[#This Row],[Campo]]</f>
        <v>modesg_param_sfics_taxon_europeiacfinalidad</v>
      </c>
      <c r="I900" s="2" t="s">
        <v>2339</v>
      </c>
      <c r="J900" s="54">
        <f>VLOOKUP(Table1[[#This Row],[Status]],Auxiliar!$B$16:$C$24,2,0)</f>
        <v>3</v>
      </c>
      <c r="K900" s="2" t="s">
        <v>1175</v>
      </c>
      <c r="L900" s="28" t="s">
        <v>1178</v>
      </c>
      <c r="M900" s="20" t="s">
        <v>1179</v>
      </c>
      <c r="N900" s="47">
        <v>45695</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0.05</v>
      </c>
      <c r="X900" s="2"/>
    </row>
    <row r="901" spans="2:24" ht="17.85000000000000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2339</v>
      </c>
      <c r="J901" s="54">
        <f>VLOOKUP(Table1[[#This Row],[Status]],Auxiliar!$B$16:$C$24,2,0)</f>
        <v>3</v>
      </c>
      <c r="K901" s="2" t="s">
        <v>1175</v>
      </c>
      <c r="L901" s="28" t="s">
        <v>1178</v>
      </c>
      <c r="M901" s="20" t="s">
        <v>1179</v>
      </c>
      <c r="N901" s="47">
        <v>45695</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0.05</v>
      </c>
      <c r="X901" s="2"/>
    </row>
    <row r="902" spans="2:24" ht="17.850000000000001" customHeight="1">
      <c r="B902" s="2" t="s">
        <v>26</v>
      </c>
      <c r="C902" s="2" t="s">
        <v>181</v>
      </c>
      <c r="D902" s="2" t="s">
        <v>1215</v>
      </c>
      <c r="E902" s="2" t="s">
        <v>38</v>
      </c>
      <c r="F902" s="2" t="s">
        <v>2107</v>
      </c>
      <c r="G902" s="2" t="s">
        <v>2063</v>
      </c>
      <c r="H902" s="56" t="str">
        <f>Table1[[#This Row],[Tabela]]&amp;Table1[[#This Row],[Campo]]</f>
        <v>modesg_param_sfics_taxon_europeiatipo_eqp</v>
      </c>
      <c r="I902" s="2" t="s">
        <v>2339</v>
      </c>
      <c r="J902" s="54">
        <f>VLOOKUP(Table1[[#This Row],[Status]],Auxiliar!$B$16:$C$24,2,0)</f>
        <v>3</v>
      </c>
      <c r="K902" s="2" t="s">
        <v>1175</v>
      </c>
      <c r="L902" s="28" t="s">
        <v>1178</v>
      </c>
      <c r="M902" s="20" t="s">
        <v>1179</v>
      </c>
      <c r="N902" s="47">
        <v>45695</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0.05</v>
      </c>
      <c r="X902" s="2"/>
    </row>
    <row r="903" spans="2:24" ht="17.850000000000001" customHeight="1">
      <c r="B903" s="2" t="s">
        <v>26</v>
      </c>
      <c r="C903" s="2" t="s">
        <v>181</v>
      </c>
      <c r="D903" s="2" t="s">
        <v>1215</v>
      </c>
      <c r="E903" s="2" t="s">
        <v>38</v>
      </c>
      <c r="F903" s="2" t="s">
        <v>2107</v>
      </c>
      <c r="G903" s="2" t="s">
        <v>2058</v>
      </c>
      <c r="H903" s="56" t="str">
        <f>Table1[[#This Row],[Tabela]]&amp;Table1[[#This Row],[Campo]]</f>
        <v>modesg_param_sfics_taxon_europeiacombustivel</v>
      </c>
      <c r="I903" s="2" t="s">
        <v>2339</v>
      </c>
      <c r="J903" s="54">
        <f>VLOOKUP(Table1[[#This Row],[Status]],Auxiliar!$B$16:$C$24,2,0)</f>
        <v>3</v>
      </c>
      <c r="K903" s="2" t="s">
        <v>1175</v>
      </c>
      <c r="L903" s="28" t="s">
        <v>1178</v>
      </c>
      <c r="M903" s="20" t="s">
        <v>1179</v>
      </c>
      <c r="N903" s="47">
        <v>45695</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0.05</v>
      </c>
      <c r="X903" s="2"/>
    </row>
    <row r="904" spans="2:24" ht="17.850000000000001" customHeight="1">
      <c r="B904" s="2" t="s">
        <v>26</v>
      </c>
      <c r="C904" s="2" t="s">
        <v>181</v>
      </c>
      <c r="D904" s="2" t="s">
        <v>1215</v>
      </c>
      <c r="E904" s="2" t="s">
        <v>38</v>
      </c>
      <c r="F904" s="2" t="s">
        <v>2107</v>
      </c>
      <c r="G904" s="2" t="s">
        <v>2059</v>
      </c>
      <c r="H904" s="56" t="str">
        <f>Table1[[#This Row],[Tabela]]&amp;Table1[[#This Row],[Campo]]</f>
        <v>modesg_param_sfics_taxon_europeiaco2</v>
      </c>
      <c r="I904" s="2" t="s">
        <v>2339</v>
      </c>
      <c r="J904" s="54">
        <f>VLOOKUP(Table1[[#This Row],[Status]],Auxiliar!$B$16:$C$24,2,0)</f>
        <v>3</v>
      </c>
      <c r="K904" s="2" t="s">
        <v>1175</v>
      </c>
      <c r="L904" s="28" t="s">
        <v>1178</v>
      </c>
      <c r="M904" s="20" t="s">
        <v>1179</v>
      </c>
      <c r="N904" s="47">
        <v>45695</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0.05</v>
      </c>
      <c r="X904" s="2"/>
    </row>
    <row r="905" spans="2:24" ht="17.850000000000001" customHeight="1">
      <c r="B905" s="2" t="s">
        <v>26</v>
      </c>
      <c r="C905" s="2" t="s">
        <v>181</v>
      </c>
      <c r="D905" s="2" t="s">
        <v>1215</v>
      </c>
      <c r="E905" s="2" t="s">
        <v>38</v>
      </c>
      <c r="F905" s="2" t="s">
        <v>2107</v>
      </c>
      <c r="G905" s="2" t="s">
        <v>190</v>
      </c>
      <c r="H905" s="56" t="str">
        <f>Table1[[#This Row],[Tabela]]&amp;Table1[[#This Row],[Campo]]</f>
        <v>modesg_param_sfics_taxon_europeiacod_lease</v>
      </c>
      <c r="I905" s="2" t="s">
        <v>2339</v>
      </c>
      <c r="J905" s="54">
        <f>VLOOKUP(Table1[[#This Row],[Status]],Auxiliar!$B$16:$C$24,2,0)</f>
        <v>3</v>
      </c>
      <c r="K905" s="2" t="s">
        <v>1175</v>
      </c>
      <c r="L905" s="28" t="s">
        <v>1178</v>
      </c>
      <c r="M905" s="20" t="s">
        <v>1179</v>
      </c>
      <c r="N905" s="47">
        <v>45695</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0.05</v>
      </c>
      <c r="X905" s="2"/>
    </row>
    <row r="906" spans="2:24" ht="17.850000000000001" customHeight="1">
      <c r="B906" s="2" t="s">
        <v>26</v>
      </c>
      <c r="C906" s="2" t="s">
        <v>181</v>
      </c>
      <c r="D906" s="2" t="s">
        <v>1215</v>
      </c>
      <c r="E906" s="2" t="s">
        <v>38</v>
      </c>
      <c r="F906" s="2" t="s">
        <v>2107</v>
      </c>
      <c r="G906" s="2" t="s">
        <v>2062</v>
      </c>
      <c r="H906" s="56" t="str">
        <f>Table1[[#This Row],[Tabela]]&amp;Table1[[#This Row],[Campo]]</f>
        <v>modesg_param_sfics_taxon_europeiadabertur</v>
      </c>
      <c r="I906" s="2" t="s">
        <v>2339</v>
      </c>
      <c r="J906" s="54">
        <f>VLOOKUP(Table1[[#This Row],[Status]],Auxiliar!$B$16:$C$24,2,0)</f>
        <v>3</v>
      </c>
      <c r="K906" s="2" t="s">
        <v>1175</v>
      </c>
      <c r="L906" s="28" t="s">
        <v>1178</v>
      </c>
      <c r="M906" s="20" t="s">
        <v>1179</v>
      </c>
      <c r="N906" s="47">
        <v>45695</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0.05</v>
      </c>
      <c r="X906" s="2"/>
    </row>
    <row r="907" spans="2:24" ht="17.850000000000001" customHeight="1">
      <c r="B907" s="2" t="s">
        <v>26</v>
      </c>
      <c r="C907" s="2" t="s">
        <v>181</v>
      </c>
      <c r="D907" s="2" t="s">
        <v>1215</v>
      </c>
      <c r="E907" s="2" t="s">
        <v>38</v>
      </c>
      <c r="F907" s="2" t="s">
        <v>2107</v>
      </c>
      <c r="G907" s="2" t="s">
        <v>2057</v>
      </c>
      <c r="H907" s="56" t="str">
        <f>Table1[[#This Row],[Tabela]]&amp;Table1[[#This Row],[Campo]]</f>
        <v>modesg_param_sfics_taxon_europeiaflg_csrd</v>
      </c>
      <c r="I907" s="2" t="s">
        <v>2339</v>
      </c>
      <c r="J907" s="54">
        <f>VLOOKUP(Table1[[#This Row],[Status]],Auxiliar!$B$16:$C$24,2,0)</f>
        <v>3</v>
      </c>
      <c r="K907" s="2" t="s">
        <v>1175</v>
      </c>
      <c r="L907" s="28" t="s">
        <v>1178</v>
      </c>
      <c r="M907" s="20" t="s">
        <v>1179</v>
      </c>
      <c r="N907" s="47">
        <v>45695</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0.05</v>
      </c>
      <c r="X907" s="2"/>
    </row>
    <row r="908" spans="2:24" ht="17.850000000000001" customHeight="1">
      <c r="B908" s="2" t="s">
        <v>26</v>
      </c>
      <c r="C908" s="2" t="s">
        <v>181</v>
      </c>
      <c r="D908" s="2" t="s">
        <v>1215</v>
      </c>
      <c r="E908" s="2" t="s">
        <v>38</v>
      </c>
      <c r="F908" s="2" t="s">
        <v>2107</v>
      </c>
      <c r="G908" s="2" t="s">
        <v>2055</v>
      </c>
      <c r="H908" s="56" t="str">
        <f>Table1[[#This Row],[Tabela]]&amp;Table1[[#This Row],[Campo]]</f>
        <v>modesg_param_sfics_taxon_europeianome_ctgr_sfics</v>
      </c>
      <c r="I908" s="2" t="s">
        <v>2339</v>
      </c>
      <c r="J908" s="54">
        <f>VLOOKUP(Table1[[#This Row],[Status]],Auxiliar!$B$16:$C$24,2,0)</f>
        <v>3</v>
      </c>
      <c r="K908" s="2" t="s">
        <v>1175</v>
      </c>
      <c r="L908" s="28" t="s">
        <v>1178</v>
      </c>
      <c r="M908" s="20" t="s">
        <v>1179</v>
      </c>
      <c r="N908" s="47">
        <v>45695</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0.05</v>
      </c>
      <c r="X908" s="2"/>
    </row>
    <row r="909" spans="2:24" ht="17.850000000000001" customHeight="1">
      <c r="B909" s="2" t="s">
        <v>26</v>
      </c>
      <c r="C909" s="2" t="s">
        <v>181</v>
      </c>
      <c r="D909" s="2" t="s">
        <v>1215</v>
      </c>
      <c r="E909" s="2" t="s">
        <v>38</v>
      </c>
      <c r="F909" s="2" t="s">
        <v>2107</v>
      </c>
      <c r="G909" s="2" t="s">
        <v>202</v>
      </c>
      <c r="H909" s="56" t="str">
        <f>Table1[[#This Row],[Tabela]]&amp;Table1[[#This Row],[Campo]]</f>
        <v>modesg_param_sfics_taxon_europeiamontante_pndrc</v>
      </c>
      <c r="I909" s="2" t="s">
        <v>2339</v>
      </c>
      <c r="J909" s="54">
        <f>VLOOKUP(Table1[[#This Row],[Status]],Auxiliar!$B$16:$C$24,2,0)</f>
        <v>3</v>
      </c>
      <c r="K909" s="2" t="s">
        <v>1175</v>
      </c>
      <c r="L909" s="28" t="s">
        <v>1178</v>
      </c>
      <c r="M909" s="20" t="s">
        <v>1179</v>
      </c>
      <c r="N909" s="47">
        <v>45695</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0.05</v>
      </c>
      <c r="X909" s="2"/>
    </row>
    <row r="910" spans="2:24" ht="17.85000000000000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2339</v>
      </c>
      <c r="J910" s="54">
        <f>VLOOKUP(Table1[[#This Row],[Status]],Auxiliar!$B$16:$C$24,2,0)</f>
        <v>3</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0.05</v>
      </c>
      <c r="X910" s="2"/>
    </row>
    <row r="911" spans="2:24" ht="17.85000000000000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2339</v>
      </c>
      <c r="J911" s="53">
        <f>VLOOKUP(Table1[[#This Row],[Status]],Auxiliar!$B$16:$C$24,2,0)</f>
        <v>3</v>
      </c>
      <c r="K911" s="2" t="s">
        <v>1175</v>
      </c>
      <c r="L911" s="28" t="s">
        <v>1178</v>
      </c>
      <c r="M911" s="20" t="s">
        <v>1179</v>
      </c>
      <c r="N911" s="47">
        <v>45695</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0.05</v>
      </c>
      <c r="X911" s="2"/>
    </row>
    <row r="912" spans="2:24" ht="17.85000000000000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2339</v>
      </c>
      <c r="J912" s="53">
        <f>VLOOKUP(Table1[[#This Row],[Status]],Auxiliar!$B$16:$C$24,2,0)</f>
        <v>3</v>
      </c>
      <c r="K912" s="2" t="s">
        <v>1175</v>
      </c>
      <c r="L912" s="28" t="s">
        <v>1178</v>
      </c>
      <c r="M912" s="20" t="s">
        <v>1179</v>
      </c>
      <c r="N912" s="47">
        <v>45695</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0.05</v>
      </c>
      <c r="X912" s="2"/>
    </row>
    <row r="913" spans="2:24" ht="17.85000000000000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2339</v>
      </c>
      <c r="J913" s="53">
        <f>VLOOKUP(Table1[[#This Row],[Status]],Auxiliar!$B$16:$C$24,2,0)</f>
        <v>3</v>
      </c>
      <c r="K913" s="2" t="s">
        <v>1175</v>
      </c>
      <c r="L913" s="28" t="s">
        <v>1178</v>
      </c>
      <c r="M913" s="20" t="s">
        <v>1179</v>
      </c>
      <c r="N913" s="47">
        <v>45695</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0.05</v>
      </c>
      <c r="X913" s="2"/>
    </row>
    <row r="914" spans="2:24" ht="17.85000000000000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2339</v>
      </c>
      <c r="J914" s="53">
        <f>VLOOKUP(Table1[[#This Row],[Status]],Auxiliar!$B$16:$C$24,2,0)</f>
        <v>3</v>
      </c>
      <c r="K914" s="2" t="s">
        <v>1175</v>
      </c>
      <c r="L914" s="28" t="s">
        <v>1178</v>
      </c>
      <c r="M914" s="20" t="s">
        <v>1179</v>
      </c>
      <c r="N914" s="47">
        <v>45695</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0.05</v>
      </c>
      <c r="X914" s="2"/>
    </row>
    <row r="915" spans="2:24" ht="17.850000000000001"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50000000000001"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50000000000001"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50000000000001"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50000000000001"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50000000000001"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50000000000001"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50000000000001"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599999999999994"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50000000000001"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599999999999994"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50000000000001"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599999999999994"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35"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50000000000001"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50000000000001"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50000000000001"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50000000000001"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50000000000001"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50000000000001"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50000000000001"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50000000000001"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50000000000001"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50000000000001"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50000000000001"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50000000000001"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50000000000001"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50000000000001"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50000000000001"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50000000000001"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50000000000001"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50000000000001"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50000000000001"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50000000000001"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50000000000001"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50000000000001"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50000000000001"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50000000000001"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50000000000001"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50000000000001"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2340</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2340</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2340</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2340</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50000000000001"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2340</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50000000000001"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50000000000001"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50000000000001"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50000000000001"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50000000000001"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50000000000001"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50000000000001"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50000000000001"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50000000000001"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50000000000001"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50000000000001"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50000000000001"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50000000000001"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 hidden="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50000000000001" hidden="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 hidden="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hidden="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hidden="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hidden="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hidden="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hidden="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hidden="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hidden="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hidden="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hidden="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hidden="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50000000000001" hidden="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hidden="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 hidden="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hidden="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hidden="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hidden="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50000000000001" hidden="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50000000000001" hidden="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 hidden="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50000000000001" hidden="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 hidden="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50000000000001" hidden="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 hidden="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hidden="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hidden="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50000000000001" hidden="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hidden="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 hidden="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50000000000001" hidden="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50000000000001" hidden="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 hidden="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50000000000001" hidden="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50000000000001" hidden="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 hidden="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hidden="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hidden="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50000000000001" hidden="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 hidden="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50000000000001" hidden="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50000000000001" hidden="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 hidden="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50000000000001" hidden="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50000000000001" hidden="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50000000000001"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50000000000001"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50000000000001"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50000000000001" hidden="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50000000000001" hidden="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50000000000001" hidden="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50000000000001"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50000000000001"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50000000000001"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 hidden="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50000000000001" hidden="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50000000000001" hidden="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 hidden="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50000000000001" hidden="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50000000000001" hidden="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 hidden="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50000000000001" hidden="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50000000000001" hidden="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 hidden="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50000000000001" hidden="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50000000000001" hidden="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 hidden="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50000000000001" hidden="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50000000000001" hidden="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 hidden="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50000000000001" hidden="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 hidden="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50000000000001" hidden="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50000000000001" hidden="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 hidden="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50000000000001" hidden="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50000000000001" hidden="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50000000000001"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50000000000001"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50000000000001"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50000000000001"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50000000000001"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50000000000001"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50000000000001"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50000000000001"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50000000000001"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50000000000001"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50000000000001"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35"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35"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50000000000001"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35"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50000000000001"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50000000000001"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50000000000001"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50000000000001"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50000000000001"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50000000000001"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50000000000001"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50000000000001"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50000000000001"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50000000000001"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50000000000001"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50000000000001"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50000000000001"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50000000000001"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50000000000001"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50000000000001"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50000000000001"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50000000000001"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50000000000001"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50000000000001"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50000000000001"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50000000000001"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50000000000001"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50000000000001"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50000000000001"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50000000000001"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50000000000001"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50000000000001"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50000000000001"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2340</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13"/>
    </row>
    <row r="1299" spans="2:24" ht="17.850000000000001"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2340</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13"/>
    </row>
    <row r="1300" spans="2:24" ht="17.850000000000001"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2340</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13"/>
    </row>
    <row r="1301" spans="2:24" ht="17.850000000000001" hidden="1" customHeight="1">
      <c r="B1301" s="38" t="s">
        <v>26</v>
      </c>
      <c r="C1301" s="38" t="s">
        <v>26</v>
      </c>
      <c r="D1301" s="38" t="s">
        <v>1275</v>
      </c>
      <c r="E1301" s="38" t="s">
        <v>1257</v>
      </c>
      <c r="F1301" s="38" t="s">
        <v>379</v>
      </c>
      <c r="G1301" s="38" t="s">
        <v>2183</v>
      </c>
      <c r="H1301" s="58" t="str">
        <f>Table1[[#This Row],[Tabela]]&amp;Table1[[#This Row],[Campo]]</f>
        <v>lt002_instrumentEAD</v>
      </c>
      <c r="I1301" s="2" t="s">
        <v>2340</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13"/>
    </row>
    <row r="1302" spans="2:24" ht="17.850000000000001"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1275</v>
      </c>
      <c r="E1303" s="38" t="s">
        <v>1257</v>
      </c>
      <c r="F1303" s="38" t="s">
        <v>379</v>
      </c>
      <c r="G1303" s="38" t="s">
        <v>1425</v>
      </c>
      <c r="H1303" s="58" t="str">
        <f>Table1[[#This Row],[Tabela]]&amp;Table1[[#This Row],[Campo]]</f>
        <v>lt002_instrumentRWA</v>
      </c>
      <c r="I1303" s="2" t="s">
        <v>2340</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13"/>
    </row>
    <row r="1304" spans="2:24" ht="17.850000000000001" hidden="1" customHeight="1">
      <c r="B1304" s="38" t="s">
        <v>26</v>
      </c>
      <c r="C1304" s="38" t="s">
        <v>26</v>
      </c>
      <c r="D1304" s="38" t="s">
        <v>1275</v>
      </c>
      <c r="E1304" s="38" t="s">
        <v>1257</v>
      </c>
      <c r="F1304" s="38" t="s">
        <v>379</v>
      </c>
      <c r="G1304" s="38" t="s">
        <v>2184</v>
      </c>
      <c r="H1304" s="58" t="str">
        <f>Table1[[#This Row],[Tabela]]&amp;Table1[[#This Row],[Campo]]</f>
        <v>lt002_instrumentLTV</v>
      </c>
      <c r="I1304" s="2" t="s">
        <v>2340</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13"/>
    </row>
    <row r="1305" spans="2:24" ht="17.850000000000001" hidden="1" customHeight="1">
      <c r="B1305" s="38" t="s">
        <v>26</v>
      </c>
      <c r="C1305" s="38" t="s">
        <v>26</v>
      </c>
      <c r="D1305" s="38" t="s">
        <v>1275</v>
      </c>
      <c r="E1305" s="38" t="s">
        <v>1257</v>
      </c>
      <c r="F1305" s="38" t="s">
        <v>379</v>
      </c>
      <c r="G1305" s="38" t="s">
        <v>2185</v>
      </c>
      <c r="H1305" s="58" t="str">
        <f>Table1[[#This Row],[Tabela]]&amp;Table1[[#This Row],[Campo]]</f>
        <v>lt002_instrumentLTV_INCPTN</v>
      </c>
      <c r="I1305" s="2" t="s">
        <v>2340</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13"/>
    </row>
    <row r="1306" spans="2:24" ht="17.850000000000001" hidden="1" customHeight="1">
      <c r="B1306" s="38" t="s">
        <v>26</v>
      </c>
      <c r="C1306" s="38" t="s">
        <v>26</v>
      </c>
      <c r="D1306" s="38" t="s">
        <v>1275</v>
      </c>
      <c r="E1306" s="38" t="s">
        <v>1257</v>
      </c>
      <c r="F1306" s="38" t="s">
        <v>379</v>
      </c>
      <c r="G1306" s="38" t="s">
        <v>2186</v>
      </c>
      <c r="H1306" s="58" t="str">
        <f>Table1[[#This Row],[Tabela]]&amp;Table1[[#This Row],[Campo]]</f>
        <v>lt002_instrumentEIR</v>
      </c>
      <c r="I1306" s="2" t="s">
        <v>2340</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13"/>
    </row>
    <row r="1307" spans="2:24" ht="17.850000000000001" hidden="1" customHeight="1">
      <c r="B1307" s="38" t="s">
        <v>26</v>
      </c>
      <c r="C1307" s="38" t="s">
        <v>26</v>
      </c>
      <c r="D1307" s="38" t="s">
        <v>1275</v>
      </c>
      <c r="E1307" s="38" t="s">
        <v>1257</v>
      </c>
      <c r="F1307" s="38" t="s">
        <v>379</v>
      </c>
      <c r="G1307" s="38" t="s">
        <v>2187</v>
      </c>
      <c r="H1307" s="58" t="str">
        <f>Table1[[#This Row],[Tabela]]&amp;Table1[[#This Row],[Campo]]</f>
        <v>lt002_instrumentEIR_INCPTN</v>
      </c>
      <c r="I1307" s="2" t="s">
        <v>2340</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13"/>
    </row>
    <row r="1308" spans="2:24" ht="17.850000000000001"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2340</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13"/>
    </row>
    <row r="1309" spans="2:24" ht="17.850000000000001"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2340</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13"/>
    </row>
    <row r="1310" spans="2:24" ht="17.850000000000001"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50000000000001"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50000000000001"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2340</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13"/>
    </row>
    <row r="1314" spans="2:24" ht="35.1"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50000000000001"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50000000000001"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50000000000001"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50000000000001"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50000000000001"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50000000000001"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50000000000001"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50000000000001"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50000000000001"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50000000000001"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50000000000001"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50000000000001"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50000000000001" hidden="1"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50000000000001"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1867</v>
      </c>
      <c r="G1418" s="387" t="s">
        <v>1305</v>
      </c>
      <c r="H1418" s="58" t="str">
        <f>Table1[[#This Row],[Tabela]]&amp;Table1[[#This Row],[Campo]]</f>
        <v>lt007_instr_activityDT_RFRNC</v>
      </c>
      <c r="I1418" s="2" t="s">
        <v>2340</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9"/>
      <c r="E1422" s="111"/>
      <c r="F1422" s="39" t="s">
        <v>1867</v>
      </c>
      <c r="G1422" s="387" t="s">
        <v>2311</v>
      </c>
      <c r="H1422" s="58" t="str">
        <f>Table1[[#This Row],[Tabela]]&amp;Table1[[#This Row],[Campo]]</f>
        <v>lt007_instr_activityFLG_DNSH_CMPLNC</v>
      </c>
      <c r="I1422" s="2" t="s">
        <v>2340</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50000000000001" hidden="1" customHeight="1">
      <c r="B1423" s="38" t="s">
        <v>26</v>
      </c>
      <c r="C1423" s="38" t="s">
        <v>26</v>
      </c>
      <c r="D1423" s="19"/>
      <c r="E1423" s="111"/>
      <c r="F1423" s="39" t="s">
        <v>1867</v>
      </c>
      <c r="G1423" s="387" t="s">
        <v>2312</v>
      </c>
      <c r="H1423" s="58" t="str">
        <f>Table1[[#This Row],[Tabela]]&amp;Table1[[#This Row],[Campo]]</f>
        <v>lt007_instr_activityDNSH_DTL</v>
      </c>
      <c r="I1423" s="2" t="s">
        <v>2340</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50000000000001"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50000000000001"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50000000000001"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2339</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2339</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50000000000001"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2339</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50000000000001"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50000000000001" hidden="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50000000000001" hidden="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50000000000001" hidden="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50000000000001" hidden="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50000000000001" hidden="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50000000000001" hidden="1" customHeight="1">
      <c r="B1441" s="38" t="s">
        <v>26</v>
      </c>
      <c r="C1441" s="38" t="s">
        <v>26</v>
      </c>
      <c r="D1441" s="19" t="s">
        <v>399</v>
      </c>
      <c r="E1441" s="111" t="s">
        <v>38</v>
      </c>
      <c r="F1441" s="31" t="s">
        <v>335</v>
      </c>
      <c r="G1441" s="387" t="s">
        <v>2209</v>
      </c>
      <c r="H1441" s="58" t="str">
        <f>Table1[[#This Row],[Tabela]]&amp;Table1[[#This Row],[Campo]]</f>
        <v>lt003_entityentty_nm</v>
      </c>
      <c r="I1441" s="2" t="s">
        <v>2340</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202"/>
    </row>
    <row r="1442" spans="2:24" ht="17.850000000000001"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50000000000001"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50000000000001" hidden="1" customHeight="1">
      <c r="B1445" s="38" t="s">
        <v>26</v>
      </c>
      <c r="C1445" s="38" t="s">
        <v>26</v>
      </c>
      <c r="D1445" s="19" t="s">
        <v>399</v>
      </c>
      <c r="E1445" s="111" t="s">
        <v>38</v>
      </c>
      <c r="F1445" s="31" t="s">
        <v>335</v>
      </c>
      <c r="G1445" s="387" t="s">
        <v>2213</v>
      </c>
      <c r="H1445" s="58" t="str">
        <f>Table1[[#This Row],[Tabela]]&amp;Table1[[#This Row],[Campo]]</f>
        <v>lt003_entitytxnmy_elgbl_capex_w</v>
      </c>
      <c r="I1445" s="2" t="s">
        <v>2340</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50000000000001" hidden="1" customHeight="1">
      <c r="B1446" s="38" t="s">
        <v>26</v>
      </c>
      <c r="C1446" s="38" t="s">
        <v>26</v>
      </c>
      <c r="D1446" s="19" t="s">
        <v>399</v>
      </c>
      <c r="E1446" s="111" t="s">
        <v>38</v>
      </c>
      <c r="F1446" s="31" t="s">
        <v>335</v>
      </c>
      <c r="G1446" s="387" t="s">
        <v>2214</v>
      </c>
      <c r="H1446" s="58" t="str">
        <f>Table1[[#This Row],[Tabela]]&amp;Table1[[#This Row],[Campo]]</f>
        <v>lt003_entitytxnmy_elgbl_trnvr_w</v>
      </c>
      <c r="I1446" s="2" t="s">
        <v>2340</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50000000000001" hidden="1" customHeight="1">
      <c r="B1447" s="38" t="s">
        <v>26</v>
      </c>
      <c r="C1447" s="38" t="s">
        <v>26</v>
      </c>
      <c r="D1447" s="19" t="s">
        <v>399</v>
      </c>
      <c r="E1447" s="111" t="s">
        <v>38</v>
      </c>
      <c r="F1447" s="31" t="s">
        <v>335</v>
      </c>
      <c r="G1447" s="387" t="s">
        <v>2215</v>
      </c>
      <c r="H1447" s="58" t="str">
        <f>Table1[[#This Row],[Tabela]]&amp;Table1[[#This Row],[Campo]]</f>
        <v>lt003_entitytxnmy_elgbl_capex_p</v>
      </c>
      <c r="I1447" s="2" t="s">
        <v>2340</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50000000000001" hidden="1" customHeight="1">
      <c r="B1448" s="38" t="s">
        <v>26</v>
      </c>
      <c r="C1448" s="38" t="s">
        <v>26</v>
      </c>
      <c r="D1448" s="19" t="s">
        <v>399</v>
      </c>
      <c r="E1448" s="111" t="s">
        <v>38</v>
      </c>
      <c r="F1448" s="31" t="s">
        <v>335</v>
      </c>
      <c r="G1448" s="387" t="s">
        <v>2216</v>
      </c>
      <c r="H1448" s="58" t="str">
        <f>Table1[[#This Row],[Tabela]]&amp;Table1[[#This Row],[Campo]]</f>
        <v>lt003_entitytxnmy_elgbl_trnvr_p</v>
      </c>
      <c r="I1448" s="2" t="s">
        <v>2340</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50000000000001" hidden="1" customHeight="1">
      <c r="B1449" s="38" t="s">
        <v>26</v>
      </c>
      <c r="C1449" s="38" t="s">
        <v>26</v>
      </c>
      <c r="D1449" s="19" t="s">
        <v>399</v>
      </c>
      <c r="E1449" s="111" t="s">
        <v>38</v>
      </c>
      <c r="F1449" s="31" t="s">
        <v>335</v>
      </c>
      <c r="G1449" s="387" t="s">
        <v>2217</v>
      </c>
      <c r="H1449" s="58" t="str">
        <f>Table1[[#This Row],[Tabela]]&amp;Table1[[#This Row],[Campo]]</f>
        <v>lt003_entitytxnmy_elgbl_capex_b</v>
      </c>
      <c r="I1449" s="2" t="s">
        <v>2340</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50000000000001" hidden="1" customHeight="1">
      <c r="B1450" s="38" t="s">
        <v>26</v>
      </c>
      <c r="C1450" s="38" t="s">
        <v>26</v>
      </c>
      <c r="D1450" s="19" t="s">
        <v>399</v>
      </c>
      <c r="E1450" s="111" t="s">
        <v>38</v>
      </c>
      <c r="F1450" s="31" t="s">
        <v>335</v>
      </c>
      <c r="G1450" s="387" t="s">
        <v>2218</v>
      </c>
      <c r="H1450" s="58" t="str">
        <f>Table1[[#This Row],[Tabela]]&amp;Table1[[#This Row],[Campo]]</f>
        <v>lt003_entitytxnmy_elgbl_trnvr_b</v>
      </c>
      <c r="I1450" s="2" t="s">
        <v>2340</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50000000000001" hidden="1" customHeight="1">
      <c r="B1451" s="38" t="s">
        <v>26</v>
      </c>
      <c r="C1451" s="38" t="s">
        <v>26</v>
      </c>
      <c r="D1451" s="19" t="s">
        <v>399</v>
      </c>
      <c r="E1451" s="111" t="s">
        <v>38</v>
      </c>
      <c r="F1451" s="31" t="s">
        <v>335</v>
      </c>
      <c r="G1451" s="387" t="s">
        <v>2219</v>
      </c>
      <c r="H1451" s="58" t="str">
        <f>Table1[[#This Row],[Tabela]]&amp;Table1[[#This Row],[Campo]]</f>
        <v>lt003_entitytxnmy_elgbl_capex_ce</v>
      </c>
      <c r="I1451" s="2" t="s">
        <v>2340</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50000000000001" hidden="1" customHeight="1">
      <c r="B1452" s="38" t="s">
        <v>26</v>
      </c>
      <c r="C1452" s="38" t="s">
        <v>26</v>
      </c>
      <c r="D1452" s="19" t="s">
        <v>399</v>
      </c>
      <c r="E1452" s="111" t="s">
        <v>38</v>
      </c>
      <c r="F1452" s="31" t="s">
        <v>335</v>
      </c>
      <c r="G1452" s="387" t="s">
        <v>2220</v>
      </c>
      <c r="H1452" s="58" t="str">
        <f>Table1[[#This Row],[Tabela]]&amp;Table1[[#This Row],[Campo]]</f>
        <v>lt003_entitytxnmy_elgbl_trnvr_ce</v>
      </c>
      <c r="I1452" s="2" t="s">
        <v>2340</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50000000000001" hidden="1" customHeight="1">
      <c r="B1453" s="38" t="s">
        <v>26</v>
      </c>
      <c r="C1453" s="38" t="s">
        <v>26</v>
      </c>
      <c r="D1453" s="19" t="s">
        <v>399</v>
      </c>
      <c r="E1453" s="111" t="s">
        <v>38</v>
      </c>
      <c r="F1453" s="31" t="s">
        <v>335</v>
      </c>
      <c r="G1453" s="387" t="s">
        <v>2221</v>
      </c>
      <c r="H1453" s="58" t="str">
        <f>Table1[[#This Row],[Tabela]]&amp;Table1[[#This Row],[Campo]]</f>
        <v>lt003_entitypure_capex_p</v>
      </c>
      <c r="I1453" s="2" t="s">
        <v>2340</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50000000000001" hidden="1" customHeight="1">
      <c r="B1454" s="38" t="s">
        <v>26</v>
      </c>
      <c r="C1454" s="38" t="s">
        <v>26</v>
      </c>
      <c r="D1454" s="19" t="s">
        <v>399</v>
      </c>
      <c r="E1454" s="111" t="s">
        <v>38</v>
      </c>
      <c r="F1454" s="31" t="s">
        <v>335</v>
      </c>
      <c r="G1454" s="387" t="s">
        <v>2222</v>
      </c>
      <c r="H1454" s="58" t="str">
        <f>Table1[[#This Row],[Tabela]]&amp;Table1[[#This Row],[Campo]]</f>
        <v>lt003_entitypure_trnvr_p</v>
      </c>
      <c r="I1454" s="2" t="s">
        <v>2340</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50000000000001" hidden="1" customHeight="1">
      <c r="B1455" s="38" t="s">
        <v>26</v>
      </c>
      <c r="C1455" s="38" t="s">
        <v>26</v>
      </c>
      <c r="D1455" s="19" t="s">
        <v>399</v>
      </c>
      <c r="E1455" s="111" t="s">
        <v>38</v>
      </c>
      <c r="F1455" s="31" t="s">
        <v>335</v>
      </c>
      <c r="G1455" s="387" t="s">
        <v>2223</v>
      </c>
      <c r="H1455" s="58" t="str">
        <f>Table1[[#This Row],[Tabela]]&amp;Table1[[#This Row],[Campo]]</f>
        <v>lt003_entitypure_capex_b</v>
      </c>
      <c r="I1455" s="2" t="s">
        <v>2340</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50000000000001" hidden="1" customHeight="1">
      <c r="B1456" s="38" t="s">
        <v>26</v>
      </c>
      <c r="C1456" s="38" t="s">
        <v>26</v>
      </c>
      <c r="D1456" s="19" t="s">
        <v>399</v>
      </c>
      <c r="E1456" s="111" t="s">
        <v>38</v>
      </c>
      <c r="F1456" s="31" t="s">
        <v>335</v>
      </c>
      <c r="G1456" s="387" t="s">
        <v>2224</v>
      </c>
      <c r="H1456" s="58" t="str">
        <f>Table1[[#This Row],[Tabela]]&amp;Table1[[#This Row],[Campo]]</f>
        <v>lt003_entitypure_trnvr_b</v>
      </c>
      <c r="I1456" s="2" t="s">
        <v>2340</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50000000000001" hidden="1" customHeight="1">
      <c r="B1457" s="38" t="s">
        <v>26</v>
      </c>
      <c r="C1457" s="38" t="s">
        <v>26</v>
      </c>
      <c r="D1457" s="19" t="s">
        <v>399</v>
      </c>
      <c r="E1457" s="111" t="s">
        <v>38</v>
      </c>
      <c r="F1457" s="31" t="s">
        <v>335</v>
      </c>
      <c r="G1457" s="387" t="s">
        <v>2225</v>
      </c>
      <c r="H1457" s="58" t="str">
        <f>Table1[[#This Row],[Tabela]]&amp;Table1[[#This Row],[Campo]]</f>
        <v>lt003_entitypure_capex_w</v>
      </c>
      <c r="I1457" s="2" t="s">
        <v>2340</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50000000000001" hidden="1" customHeight="1">
      <c r="B1458" s="38" t="s">
        <v>26</v>
      </c>
      <c r="C1458" s="38" t="s">
        <v>26</v>
      </c>
      <c r="D1458" s="19" t="s">
        <v>399</v>
      </c>
      <c r="E1458" s="111" t="s">
        <v>38</v>
      </c>
      <c r="F1458" s="31" t="s">
        <v>335</v>
      </c>
      <c r="G1458" s="387" t="s">
        <v>2226</v>
      </c>
      <c r="H1458" s="58" t="str">
        <f>Table1[[#This Row],[Tabela]]&amp;Table1[[#This Row],[Campo]]</f>
        <v>lt003_entitypure_trnvr_w</v>
      </c>
      <c r="I1458" s="2" t="s">
        <v>2340</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50000000000001" hidden="1" customHeight="1">
      <c r="B1459" s="38" t="s">
        <v>26</v>
      </c>
      <c r="C1459" s="38" t="s">
        <v>26</v>
      </c>
      <c r="D1459" s="19" t="s">
        <v>399</v>
      </c>
      <c r="E1459" s="111" t="s">
        <v>38</v>
      </c>
      <c r="F1459" s="31" t="s">
        <v>335</v>
      </c>
      <c r="G1459" s="387" t="s">
        <v>2227</v>
      </c>
      <c r="H1459" s="58" t="str">
        <f>Table1[[#This Row],[Tabela]]&amp;Table1[[#This Row],[Campo]]</f>
        <v>lt003_entitypure_capex_ce</v>
      </c>
      <c r="I1459" s="2" t="s">
        <v>2340</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50000000000001" hidden="1" customHeight="1">
      <c r="B1460" s="38" t="s">
        <v>26</v>
      </c>
      <c r="C1460" s="38" t="s">
        <v>26</v>
      </c>
      <c r="D1460" s="19" t="s">
        <v>399</v>
      </c>
      <c r="E1460" s="111" t="s">
        <v>38</v>
      </c>
      <c r="F1460" s="31" t="s">
        <v>335</v>
      </c>
      <c r="G1460" s="387" t="s">
        <v>2228</v>
      </c>
      <c r="H1460" s="58" t="str">
        <f>Table1[[#This Row],[Tabela]]&amp;Table1[[#This Row],[Campo]]</f>
        <v>lt003_entitypure_trnvr_ce</v>
      </c>
      <c r="I1460" s="2" t="s">
        <v>2340</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50000000000001" hidden="1" customHeight="1">
      <c r="B1461" s="38" t="s">
        <v>26</v>
      </c>
      <c r="C1461" s="38" t="s">
        <v>26</v>
      </c>
      <c r="D1461" s="19" t="s">
        <v>399</v>
      </c>
      <c r="E1461" s="111" t="s">
        <v>38</v>
      </c>
      <c r="F1461" s="31" t="s">
        <v>335</v>
      </c>
      <c r="G1461" s="387" t="s">
        <v>2229</v>
      </c>
      <c r="H1461" s="58" t="str">
        <f>Table1[[#This Row],[Tabela]]&amp;Table1[[#This Row],[Campo]]</f>
        <v>lt003_entityenblng_capex_w</v>
      </c>
      <c r="I1461" s="2" t="s">
        <v>2340</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50000000000001" hidden="1" customHeight="1">
      <c r="B1462" s="38" t="s">
        <v>26</v>
      </c>
      <c r="C1462" s="38" t="s">
        <v>26</v>
      </c>
      <c r="D1462" s="19" t="s">
        <v>399</v>
      </c>
      <c r="E1462" s="111" t="s">
        <v>38</v>
      </c>
      <c r="F1462" s="31" t="s">
        <v>335</v>
      </c>
      <c r="G1462" s="387" t="s">
        <v>2230</v>
      </c>
      <c r="H1462" s="58" t="str">
        <f>Table1[[#This Row],[Tabela]]&amp;Table1[[#This Row],[Campo]]</f>
        <v>lt003_entityenblng_trnvr_w</v>
      </c>
      <c r="I1462" s="2" t="s">
        <v>2340</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50000000000001" hidden="1" customHeight="1">
      <c r="B1463" s="38" t="s">
        <v>26</v>
      </c>
      <c r="C1463" s="38" t="s">
        <v>26</v>
      </c>
      <c r="D1463" s="19" t="s">
        <v>399</v>
      </c>
      <c r="E1463" s="111" t="s">
        <v>38</v>
      </c>
      <c r="F1463" s="31" t="s">
        <v>335</v>
      </c>
      <c r="G1463" s="387" t="s">
        <v>2231</v>
      </c>
      <c r="H1463" s="58" t="str">
        <f>Table1[[#This Row],[Tabela]]&amp;Table1[[#This Row],[Campo]]</f>
        <v>lt003_entityenblng_capex_ce</v>
      </c>
      <c r="I1463" s="2" t="s">
        <v>2340</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50000000000001" hidden="1" customHeight="1">
      <c r="B1464" s="38" t="s">
        <v>26</v>
      </c>
      <c r="C1464" s="38" t="s">
        <v>26</v>
      </c>
      <c r="D1464" s="19" t="s">
        <v>399</v>
      </c>
      <c r="E1464" s="111" t="s">
        <v>38</v>
      </c>
      <c r="F1464" s="31" t="s">
        <v>335</v>
      </c>
      <c r="G1464" s="387" t="s">
        <v>2232</v>
      </c>
      <c r="H1464" s="58" t="str">
        <f>Table1[[#This Row],[Tabela]]&amp;Table1[[#This Row],[Campo]]</f>
        <v>lt003_entityenblng_trnvr_ce</v>
      </c>
      <c r="I1464" s="2" t="s">
        <v>2340</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50000000000001"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50000000000001"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50000000000001"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50000000000001"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50000000000001"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50000000000001"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389" t="s">
        <v>2263</v>
      </c>
      <c r="H1473" s="58" t="str">
        <f>Table1[[#This Row],[Tabela]]&amp;Table1[[#This Row],[Campo]]</f>
        <v>lt004_protectionRL_ESTT_CTY</v>
      </c>
      <c r="I1473" s="2" t="s">
        <v>2340</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389" t="s">
        <v>2264</v>
      </c>
      <c r="H1474" s="58" t="str">
        <f>Table1[[#This Row],[Tabela]]&amp;Table1[[#This Row],[Campo]]</f>
        <v>lt004_protectionTYP_EMSSNS_LBL</v>
      </c>
      <c r="I1474" s="2" t="s">
        <v>2340</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389" t="s">
        <v>2266</v>
      </c>
      <c r="H1476" s="58" t="str">
        <f>Table1[[#This Row],[Tabela]]&amp;Table1[[#This Row],[Campo]]</f>
        <v>lt004_protectionVHCL_EMSSNS_LBL</v>
      </c>
      <c r="I1476" s="2" t="s">
        <v>2340</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389" t="s">
        <v>2269</v>
      </c>
      <c r="H1479" s="58" t="str">
        <f>Table1[[#This Row],[Tabela]]&amp;Table1[[#This Row],[Campo]]</f>
        <v>lt004_protectionVHCL_EMSSNS_SCR</v>
      </c>
      <c r="I1479" s="2" t="s">
        <v>2340</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389" t="s">
        <v>2270</v>
      </c>
      <c r="H1480" s="58" t="str">
        <f>Table1[[#This Row],[Tabela]]&amp;Table1[[#This Row],[Campo]]</f>
        <v>lt004_protectionINSRNC_ID</v>
      </c>
      <c r="I1480" s="2" t="s">
        <v>2340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389" t="s">
        <v>2271</v>
      </c>
      <c r="H1481" s="58" t="str">
        <f>Table1[[#This Row],[Tabela]]&amp;Table1[[#This Row],[Campo]]</f>
        <v>lt004_protectionTYP_HZRDS_INSRD</v>
      </c>
      <c r="I1481" s="2" t="s">
        <v>2340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389" t="s">
        <v>2272</v>
      </c>
      <c r="H1482" s="58" t="str">
        <f>Table1[[#This Row],[Tabela]]&amp;Table1[[#This Row],[Campo]]</f>
        <v>lt004_protectionAMNT_CVRD_INSRNC</v>
      </c>
      <c r="I1482" s="2" t="s">
        <v>2340</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389" t="s">
        <v>2273</v>
      </c>
      <c r="H1483" s="58" t="str">
        <f>Table1[[#This Row],[Tabela]]&amp;Table1[[#This Row],[Campo]]</f>
        <v>lt004_protectionDT_MTRTY_INSRNC</v>
      </c>
      <c r="I1483" s="2" t="s">
        <v>2340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389" t="s">
        <v>2274</v>
      </c>
      <c r="H1484" s="58" t="str">
        <f>Table1[[#This Row],[Tabela]]&amp;Table1[[#This Row],[Campo]]</f>
        <v>lt004_protectionFLG_FRST_HM</v>
      </c>
      <c r="I1484" s="2" t="s">
        <v>2340</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389" t="s">
        <v>2275</v>
      </c>
      <c r="H1485" s="58" t="str">
        <f>Table1[[#This Row],[Tabela]]&amp;Table1[[#This Row],[Campo]]</f>
        <v>lt004_protectionYR_CNSTRCTN</v>
      </c>
      <c r="I1485" s="2" t="s">
        <v>2340</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389" t="s">
        <v>2276</v>
      </c>
      <c r="H1486" s="58" t="str">
        <f>Table1[[#This Row],[Tabela]]&amp;Table1[[#This Row],[Campo]]</f>
        <v>lt004_protectionBLDNG_AR</v>
      </c>
      <c r="I1486" s="2" t="s">
        <v>2340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389" t="s">
        <v>2277</v>
      </c>
      <c r="H1487" s="58" t="str">
        <f>Table1[[#This Row],[Tabela]]&amp;Table1[[#This Row],[Campo]]</f>
        <v>lt004_protectionRL_ESTT_CRTFCTN</v>
      </c>
      <c r="I1487" s="2" t="s">
        <v>2340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389" t="s">
        <v>2279</v>
      </c>
      <c r="H1489" s="58" t="str">
        <f>Table1[[#This Row],[Tabela]]&amp;Table1[[#This Row],[Campo]]</f>
        <v>lt004_protectionDT_RGSTRTN</v>
      </c>
      <c r="I1489" s="2" t="s">
        <v>2340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389" t="s">
        <v>2280</v>
      </c>
      <c r="H1490" s="58" t="str">
        <f>Table1[[#This Row],[Tabela]]&amp;Table1[[#This Row],[Campo]]</f>
        <v>lt004_protectionPRMRY_ENRGY_DMND_NN_RNWBL</v>
      </c>
      <c r="I1490" s="2" t="s">
        <v>2340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50000000000001"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50000000000001"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50000000000001"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50000000000001"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2340</v>
      </c>
      <c r="J1504" s="44">
        <f>VLOOKUP(Table1[[#This Row],[Status]],Auxiliar!$B$16:$C$24,2,0)</f>
        <v>7</v>
      </c>
      <c r="K1504" s="20" t="s">
        <v>1177</v>
      </c>
      <c r="L1504" s="45" t="s">
        <v>1178</v>
      </c>
      <c r="M1504" s="20" t="s">
        <v>1179</v>
      </c>
      <c r="N1504" s="47">
        <v>45329</v>
      </c>
      <c r="O1504" s="112">
        <v>0.1</v>
      </c>
      <c r="P1504" s="2"/>
      <c r="Q1504" s="202"/>
      <c r="R1504" s="151"/>
      <c r="S1504" s="151"/>
      <c r="T1504" s="151"/>
      <c r="U1504" s="151"/>
      <c r="V1504" s="151"/>
      <c r="W1504" s="2">
        <f>VLOOKUP(Table1[[#This Row],[Status]],Auxiliar!$B$16:$D$24,3,0)*Table1[[#This Row],[Estimação (horas)]]</f>
        <v>2.5000000000000001E-2</v>
      </c>
      <c r="X1504" s="202"/>
    </row>
    <row r="1505" spans="2:24" ht="17.850000000000001"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50000000000001"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50000000000001"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50000000000001"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7.399999999999999" hidden="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7.399999999999999" hidden="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7.399999999999999" hidden="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7.399999999999999" hidden="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7.399999999999999" hidden="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7.399999999999999" hidden="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7.399999999999999" hidden="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7.399999999999999" hidden="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7.399999999999999" hidden="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01" operator="containsText" id="{F0FC3167-D078-4732-B252-F6CF35A33118}">
            <xm:f>NOT(ISERROR(SEARCH(Auxiliar!$B$21,I193)))</xm:f>
            <xm:f>Auxiliar!$B$21</xm:f>
            <x14:dxf>
              <font>
                <b/>
                <i val="0"/>
                <color rgb="FFFFC000"/>
              </font>
              <fill>
                <patternFill>
                  <bgColor theme="9" tint="0.59996337778862885"/>
                </patternFill>
              </fill>
            </x14:dxf>
          </x14:cfRule>
          <x14:cfRule type="cellIs" priority="302" operator="equal" id="{0DF84132-7044-4342-A136-5BB25A806900}">
            <xm:f>Auxiliar!$B$24</xm:f>
            <x14:dxf>
              <font>
                <b/>
                <i val="0"/>
                <color theme="1"/>
              </font>
              <fill>
                <patternFill patternType="darkUp">
                  <bgColor theme="0"/>
                </patternFill>
              </fill>
            </x14:dxf>
          </x14:cfRule>
          <x14:cfRule type="cellIs" priority="303" operator="equal" id="{0AA668F3-08F2-48AD-824F-FDAAFE4C3390}">
            <xm:f>Auxiliar!$B$18</xm:f>
            <x14:dxf>
              <font>
                <b/>
                <i val="0"/>
                <color theme="0" tint="-0.499984740745262"/>
              </font>
              <fill>
                <patternFill>
                  <bgColor theme="0" tint="-4.9989318521683403E-2"/>
                </patternFill>
              </fill>
            </x14:dxf>
          </x14:cfRule>
          <x14:cfRule type="containsText" priority="30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0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0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53" operator="containsText" id="{740F90F7-AB92-479A-85BF-13BAB76C3411}">
            <xm:f>NOT(ISERROR(SEARCH(Auxiliar!$B$21,I1139)))</xm:f>
            <xm:f>Auxiliar!$B$21</xm:f>
            <x14:dxf>
              <font>
                <b/>
                <i val="0"/>
                <color rgb="FFFFC000"/>
              </font>
              <fill>
                <patternFill>
                  <bgColor theme="9" tint="0.59996337778862885"/>
                </patternFill>
              </fill>
            </x14:dxf>
          </x14:cfRule>
          <x14:cfRule type="cellIs" priority="254" operator="equal" id="{88AE8B12-357A-4B8A-9319-781057D8ABD6}">
            <xm:f>Auxiliar!$B$24</xm:f>
            <x14:dxf>
              <font>
                <b/>
                <i val="0"/>
                <color theme="1"/>
              </font>
              <fill>
                <patternFill patternType="darkUp">
                  <bgColor theme="0"/>
                </patternFill>
              </fill>
            </x14:dxf>
          </x14:cfRule>
          <x14:cfRule type="cellIs" priority="255" operator="equal" id="{BC303029-A698-4297-8685-4F827375138C}">
            <xm:f>Auxiliar!$B$18</xm:f>
            <x14:dxf>
              <font>
                <b/>
                <i val="0"/>
                <color theme="0" tint="-0.499984740745262"/>
              </font>
              <fill>
                <patternFill>
                  <bgColor theme="0" tint="-4.9989318521683403E-2"/>
                </patternFill>
              </fill>
            </x14:dxf>
          </x14:cfRule>
          <x14:cfRule type="containsText" priority="25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5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5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35" operator="containsText" id="{F48B2BF5-6845-4309-99E8-30933C9EE615}">
            <xm:f>NOT(ISERROR(SEARCH(Auxiliar!$B$21,I1205)))</xm:f>
            <xm:f>Auxiliar!$B$21</xm:f>
            <x14:dxf>
              <font>
                <b/>
                <i val="0"/>
                <color rgb="FFFFC000"/>
              </font>
              <fill>
                <patternFill>
                  <bgColor theme="9" tint="0.59996337778862885"/>
                </patternFill>
              </fill>
            </x14:dxf>
          </x14:cfRule>
          <x14:cfRule type="cellIs" priority="236" operator="equal" id="{13D25AAA-9E27-4596-8161-C1D8B229FB78}">
            <xm:f>Auxiliar!$B$24</xm:f>
            <x14:dxf>
              <font>
                <b/>
                <i val="0"/>
                <color theme="1"/>
              </font>
              <fill>
                <patternFill patternType="darkUp">
                  <bgColor theme="0"/>
                </patternFill>
              </fill>
            </x14:dxf>
          </x14:cfRule>
          <x14:cfRule type="cellIs" priority="237" operator="equal" id="{22B4EADE-6286-4A66-8996-D7CA931879E6}">
            <xm:f>Auxiliar!$B$18</xm:f>
            <x14:dxf>
              <font>
                <b/>
                <i val="0"/>
                <color theme="0" tint="-0.499984740745262"/>
              </font>
              <fill>
                <patternFill>
                  <bgColor theme="0" tint="-4.9989318521683403E-2"/>
                </patternFill>
              </fill>
            </x14:dxf>
          </x14:cfRule>
          <x14:cfRule type="containsText" priority="23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3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4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29" operator="containsText" id="{5ED364A6-7788-43B4-ABBB-E3185B87783C}">
            <xm:f>NOT(ISERROR(SEARCH(Auxiliar!$B$21,I1295)))</xm:f>
            <xm:f>Auxiliar!$B$21</xm:f>
            <x14:dxf>
              <font>
                <b/>
                <i val="0"/>
                <color rgb="FFFFC000"/>
              </font>
              <fill>
                <patternFill>
                  <bgColor theme="9" tint="0.59996337778862885"/>
                </patternFill>
              </fill>
            </x14:dxf>
          </x14:cfRule>
          <x14:cfRule type="cellIs" priority="230" operator="equal" id="{CC216F48-AEAC-42B0-BAEF-B859E88448DD}">
            <xm:f>Auxiliar!$B$24</xm:f>
            <x14:dxf>
              <font>
                <b/>
                <i val="0"/>
                <color theme="1"/>
              </font>
              <fill>
                <patternFill patternType="darkUp">
                  <bgColor theme="0"/>
                </patternFill>
              </fill>
            </x14:dxf>
          </x14:cfRule>
          <x14:cfRule type="cellIs" priority="231" operator="equal" id="{23819E92-56C5-4D3E-B9E1-67FDD9E7882C}">
            <xm:f>Auxiliar!$B$18</xm:f>
            <x14:dxf>
              <font>
                <b/>
                <i val="0"/>
                <color theme="0" tint="-0.499984740745262"/>
              </font>
              <fill>
                <patternFill>
                  <bgColor theme="0" tint="-4.9989318521683403E-2"/>
                </patternFill>
              </fill>
            </x14:dxf>
          </x14:cfRule>
          <x14:cfRule type="containsText" priority="23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3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34"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3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277" operator="containsText" id="{818B4E3F-A611-4A6A-A815-B804D1E3C747}">
            <xm:f>NOT(ISERROR(SEARCH(Auxiliar!$B$21,I1327)))</xm:f>
            <xm:f>Auxiliar!$B$21</xm:f>
            <x14:dxf>
              <font>
                <b/>
                <i val="0"/>
                <color rgb="FFFFC000"/>
              </font>
              <fill>
                <patternFill>
                  <bgColor theme="9" tint="0.59996337778862885"/>
                </patternFill>
              </fill>
            </x14:dxf>
          </x14:cfRule>
          <x14:cfRule type="cellIs" priority="278" operator="equal" id="{49F42230-2FF0-42CE-B047-38469DF4FF91}">
            <xm:f>Auxiliar!$B$24</xm:f>
            <x14:dxf>
              <font>
                <b/>
                <i val="0"/>
                <color theme="1"/>
              </font>
              <fill>
                <patternFill patternType="darkUp">
                  <bgColor theme="0"/>
                </patternFill>
              </fill>
            </x14:dxf>
          </x14:cfRule>
          <x14:cfRule type="cellIs" priority="279" operator="equal" id="{340814F4-4DC4-4851-925E-2EA110D79ECA}">
            <xm:f>Auxiliar!$B$18</xm:f>
            <x14:dxf>
              <font>
                <b/>
                <i val="0"/>
                <color theme="0" tint="-0.499984740745262"/>
              </font>
              <fill>
                <patternFill>
                  <bgColor theme="0" tint="-4.9989318521683403E-2"/>
                </patternFill>
              </fill>
            </x14:dxf>
          </x14:cfRule>
          <x14:cfRule type="containsText" priority="28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8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8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91" operator="containsText" id="{EA64DC1C-861B-48F8-9621-E598024B99B0}">
            <xm:f>NOT(ISERROR(SEARCH(Auxiliar!$B$21,I1466)))</xm:f>
            <xm:f>Auxiliar!$B$21</xm:f>
            <x14:dxf>
              <font>
                <b/>
                <i val="0"/>
                <color rgb="FFFFC000"/>
              </font>
              <fill>
                <patternFill>
                  <bgColor theme="9" tint="0.59996337778862885"/>
                </patternFill>
              </fill>
            </x14:dxf>
          </x14:cfRule>
          <x14:cfRule type="cellIs" priority="692" operator="equal" id="{839A85C4-8947-4392-8D52-FE7821AB5714}">
            <xm:f>Auxiliar!$B$24</xm:f>
            <x14:dxf>
              <font>
                <b/>
                <i val="0"/>
                <color theme="1"/>
              </font>
              <fill>
                <patternFill patternType="darkUp">
                  <bgColor theme="0"/>
                </patternFill>
              </fill>
            </x14:dxf>
          </x14:cfRule>
          <x14:cfRule type="cellIs" priority="693" operator="equal" id="{AFCEA854-203F-4E0E-9E0B-A825AA0A5D6E}">
            <xm:f>Auxiliar!$B$18</xm:f>
            <x14:dxf>
              <font>
                <b/>
                <i val="0"/>
                <color theme="0" tint="-0.499984740745262"/>
              </font>
              <fill>
                <patternFill>
                  <bgColor theme="0" tint="-4.9989318521683403E-2"/>
                </patternFill>
              </fill>
            </x14:dxf>
          </x14:cfRule>
          <x14:cfRule type="containsText" priority="69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9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9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85" operator="containsText" id="{22EE3303-E871-4FDC-B876-3AC40B4BB29E}">
            <xm:f>NOT(ISERROR(SEARCH(Auxiliar!$B$21,I9)))</xm:f>
            <xm:f>Auxiliar!$B$21</xm:f>
            <x14:dxf>
              <font>
                <b/>
                <i val="0"/>
                <color rgb="FFFFC000"/>
              </font>
              <fill>
                <patternFill>
                  <bgColor theme="9" tint="0.59996337778862885"/>
                </patternFill>
              </fill>
            </x14:dxf>
          </x14:cfRule>
          <x14:cfRule type="cellIs" priority="686" operator="equal" id="{A75C795E-F66D-4DC2-A9AF-15BDCED7DA25}">
            <xm:f>Auxiliar!$B$24</xm:f>
            <x14:dxf>
              <font>
                <b/>
                <i val="0"/>
                <color theme="1"/>
              </font>
              <fill>
                <patternFill patternType="darkUp">
                  <bgColor theme="0"/>
                </patternFill>
              </fill>
            </x14:dxf>
          </x14:cfRule>
          <x14:cfRule type="cellIs" priority="687" operator="equal" id="{68C7A1CE-73C7-4D91-A2AC-1493C4E277DD}">
            <xm:f>Auxiliar!$B$18</xm:f>
            <x14:dxf>
              <font>
                <b/>
                <i val="0"/>
                <color theme="0" tint="-0.499984740745262"/>
              </font>
              <fill>
                <patternFill>
                  <bgColor theme="0" tint="-4.9989318521683403E-2"/>
                </patternFill>
              </fill>
            </x14:dxf>
          </x14:cfRule>
          <x14:cfRule type="containsText" priority="68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8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90"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69" operator="containsText" id="{6928D489-0130-4A60-BE2B-1D9108B02454}">
            <xm:f>NOT(ISERROR(SEARCH(Auxiliar!$B$21,I196)))</xm:f>
            <xm:f>Auxiliar!$B$21</xm:f>
            <x14:dxf>
              <font>
                <b/>
                <i val="0"/>
                <color rgb="FFFFC000"/>
              </font>
              <fill>
                <patternFill>
                  <bgColor theme="9" tint="0.59996337778862885"/>
                </patternFill>
              </fill>
            </x14:dxf>
          </x14:cfRule>
          <x14:cfRule type="cellIs" priority="770" operator="equal" id="{E2F14AF0-878C-4184-86EE-1EC72D11FF82}">
            <xm:f>Auxiliar!$B$24</xm:f>
            <x14:dxf>
              <font>
                <b/>
                <i val="0"/>
                <color theme="1"/>
              </font>
              <fill>
                <patternFill patternType="darkUp">
                  <bgColor theme="0"/>
                </patternFill>
              </fill>
            </x14:dxf>
          </x14:cfRule>
          <x14:cfRule type="cellIs" priority="771" operator="equal" id="{662C2D77-73A6-422E-B043-D39190EAAFD3}">
            <xm:f>Auxiliar!$B$18</xm:f>
            <x14:dxf>
              <font>
                <b/>
                <i val="0"/>
                <color theme="0" tint="-0.499984740745262"/>
              </font>
              <fill>
                <patternFill>
                  <bgColor theme="0" tint="-4.9989318521683403E-2"/>
                </patternFill>
              </fill>
            </x14:dxf>
          </x14:cfRule>
          <x14:cfRule type="containsText" priority="77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7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7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36" operator="equal" id="{461BEC2A-3AB6-4974-9160-0CC657CD83C0}">
            <xm:f>Auxiliar!$B$24</xm:f>
            <x14:dxf>
              <font>
                <b/>
                <i val="0"/>
                <color theme="1"/>
              </font>
              <fill>
                <patternFill patternType="darkUp">
                  <bgColor theme="0"/>
                </patternFill>
              </fill>
            </x14:dxf>
          </x14:cfRule>
          <x14:cfRule type="cellIs" priority="1303" operator="equal" id="{5CC18A3F-CC0C-4983-A19C-E91C49A3DB8A}">
            <xm:f>Auxiliar!$B$18</xm:f>
            <x14:dxf>
              <font>
                <b/>
                <i val="0"/>
                <color theme="0" tint="-0.499984740745262"/>
              </font>
              <fill>
                <patternFill>
                  <bgColor theme="0" tint="-4.9989318521683403E-2"/>
                </patternFill>
              </fill>
            </x14:dxf>
          </x14:cfRule>
          <x14:cfRule type="containsText" priority="130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0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0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661" operator="containsText" id="{B9BA2292-98F1-4845-8262-A781D9352444}">
            <xm:f>NOT(ISERROR(SEARCH(Auxiliar!$B$21,J193)))</xm:f>
            <xm:f>Auxiliar!$B$21</xm:f>
            <x14:dxf>
              <font>
                <b/>
                <i val="0"/>
                <color rgb="FFFFC000"/>
              </font>
              <fill>
                <patternFill>
                  <bgColor theme="9" tint="0.59996337778862885"/>
                </patternFill>
              </fill>
            </x14:dxf>
          </x14:cfRule>
          <x14:cfRule type="cellIs" priority="662" operator="equal" id="{D32B9961-C82B-426A-A975-2475FFC80C76}">
            <xm:f>Auxiliar!$B$24</xm:f>
            <x14:dxf>
              <font>
                <b/>
                <i val="0"/>
                <color theme="1"/>
              </font>
              <fill>
                <patternFill patternType="darkUp">
                  <bgColor theme="0"/>
                </patternFill>
              </fill>
            </x14:dxf>
          </x14:cfRule>
          <x14:cfRule type="cellIs" priority="663" operator="equal" id="{EE9F5D7D-A515-4B4F-859E-E804329C9CE0}">
            <xm:f>Auxiliar!$B$18</xm:f>
            <x14:dxf>
              <font>
                <b/>
                <i val="0"/>
                <color theme="0" tint="-0.499984740745262"/>
              </font>
              <fill>
                <patternFill>
                  <bgColor theme="0" tint="-4.9989318521683403E-2"/>
                </patternFill>
              </fill>
            </x14:dxf>
          </x14:cfRule>
          <x14:cfRule type="containsText" priority="66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6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6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87" operator="containsText" id="{576165AC-18FE-49D8-90D0-249BF5B7AAD2}">
            <xm:f>NOT(ISERROR(SEARCH(Auxiliar!$B$21,J392)))</xm:f>
            <xm:f>Auxiliar!$B$21</xm:f>
            <x14:dxf>
              <font>
                <b/>
                <i val="0"/>
                <color rgb="FFFFC000"/>
              </font>
              <fill>
                <patternFill>
                  <bgColor theme="9" tint="0.59996337778862885"/>
                </patternFill>
              </fill>
            </x14:dxf>
          </x14:cfRule>
          <x14:cfRule type="cellIs" priority="788" operator="equal" id="{2BEF1854-999B-428C-B198-117A6D75B6CF}">
            <xm:f>Auxiliar!$B$24</xm:f>
            <x14:dxf>
              <font>
                <b/>
                <i val="0"/>
                <color theme="1"/>
              </font>
              <fill>
                <patternFill patternType="darkUp">
                  <bgColor theme="0"/>
                </patternFill>
              </fill>
            </x14:dxf>
          </x14:cfRule>
          <x14:cfRule type="cellIs" priority="789" operator="equal" id="{82150E9C-7DB3-4C92-B25A-09099C09088C}">
            <xm:f>Auxiliar!$B$18</xm:f>
            <x14:dxf>
              <font>
                <b/>
                <i val="0"/>
                <color theme="0" tint="-0.499984740745262"/>
              </font>
              <fill>
                <patternFill>
                  <bgColor theme="0" tint="-4.9989318521683403E-2"/>
                </patternFill>
              </fill>
            </x14:dxf>
          </x14:cfRule>
          <x14:cfRule type="containsText" priority="79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9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9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17" operator="containsText" id="{823160F8-9997-4794-9B4E-C576A6FE222D}">
            <xm:f>NOT(ISERROR(SEARCH(Auxiliar!$B$21,I392)))</xm:f>
            <xm:f>Auxiliar!$B$21</xm:f>
            <x14:dxf>
              <font>
                <b/>
                <i val="0"/>
                <color rgb="FFFFC000"/>
              </font>
              <fill>
                <patternFill>
                  <bgColor theme="9" tint="0.59996337778862885"/>
                </patternFill>
              </fill>
            </x14:dxf>
          </x14:cfRule>
          <x14:cfRule type="cellIs" priority="218" operator="equal" id="{C1156D3F-4924-4518-B96A-5B9AA8B5BE50}">
            <xm:f>Auxiliar!$B$24</xm:f>
            <x14:dxf>
              <font>
                <b/>
                <i val="0"/>
                <color theme="1"/>
              </font>
              <fill>
                <patternFill patternType="darkUp">
                  <bgColor theme="0"/>
                </patternFill>
              </fill>
            </x14:dxf>
          </x14:cfRule>
          <x14:cfRule type="cellIs" priority="219" operator="equal" id="{BD765773-A292-448A-90DA-70399168E638}">
            <xm:f>Auxiliar!$B$18</xm:f>
            <x14:dxf>
              <font>
                <b/>
                <i val="0"/>
                <color theme="0" tint="-0.499984740745262"/>
              </font>
              <fill>
                <patternFill>
                  <bgColor theme="0" tint="-4.9989318521683403E-2"/>
                </patternFill>
              </fill>
            </x14:dxf>
          </x14:cfRule>
          <x14:cfRule type="containsText" priority="22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2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2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11" operator="containsText" id="{2C9A8ECC-40D2-4BF8-9013-94EF4681BA37}">
            <xm:f>NOT(ISERROR(SEARCH(Auxiliar!$B$21,I1199)))</xm:f>
            <xm:f>Auxiliar!$B$21</xm:f>
            <x14:dxf>
              <font>
                <b/>
                <i val="0"/>
                <color rgb="FFFFC000"/>
              </font>
              <fill>
                <patternFill>
                  <bgColor theme="9" tint="0.59996337778862885"/>
                </patternFill>
              </fill>
            </x14:dxf>
          </x14:cfRule>
          <x14:cfRule type="cellIs" priority="212" operator="equal" id="{59A9144D-6CCA-4414-829D-6E250F57C9C1}">
            <xm:f>Auxiliar!$B$24</xm:f>
            <x14:dxf>
              <font>
                <b/>
                <i val="0"/>
                <color theme="1"/>
              </font>
              <fill>
                <patternFill patternType="darkUp">
                  <bgColor theme="0"/>
                </patternFill>
              </fill>
            </x14:dxf>
          </x14:cfRule>
          <x14:cfRule type="cellIs" priority="213" operator="equal" id="{E214B4E9-46D7-4587-9E1C-3B66F94D73F5}">
            <xm:f>Auxiliar!$B$18</xm:f>
            <x14:dxf>
              <font>
                <b/>
                <i val="0"/>
                <color theme="0" tint="-0.499984740745262"/>
              </font>
              <fill>
                <patternFill>
                  <bgColor theme="0" tint="-4.9989318521683403E-2"/>
                </patternFill>
              </fill>
            </x14:dxf>
          </x14:cfRule>
          <x14:cfRule type="containsText" priority="21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1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1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05" operator="containsText" id="{95C8CC35-B63E-4B6E-978B-89C7B3BB0D0F}">
            <xm:f>NOT(ISERROR(SEARCH(Auxiliar!$B$21,I1470)))</xm:f>
            <xm:f>Auxiliar!$B$21</xm:f>
            <x14:dxf>
              <font>
                <b/>
                <i val="0"/>
                <color rgb="FFFFC000"/>
              </font>
              <fill>
                <patternFill>
                  <bgColor theme="9" tint="0.59996337778862885"/>
                </patternFill>
              </fill>
            </x14:dxf>
          </x14:cfRule>
          <x14:cfRule type="cellIs" priority="206" operator="equal" id="{2CF4FBE2-212B-4B8E-A4FF-359DE385C765}">
            <xm:f>Auxiliar!$B$24</xm:f>
            <x14:dxf>
              <font>
                <b/>
                <i val="0"/>
                <color theme="1"/>
              </font>
              <fill>
                <patternFill patternType="darkUp">
                  <bgColor theme="0"/>
                </patternFill>
              </fill>
            </x14:dxf>
          </x14:cfRule>
          <x14:cfRule type="cellIs" priority="207" operator="equal" id="{DFAEB673-DE6E-4608-B609-F2F737B60C9A}">
            <xm:f>Auxiliar!$B$18</xm:f>
            <x14:dxf>
              <font>
                <b/>
                <i val="0"/>
                <color theme="0" tint="-0.499984740745262"/>
              </font>
              <fill>
                <patternFill>
                  <bgColor theme="0" tint="-4.9989318521683403E-2"/>
                </patternFill>
              </fill>
            </x14:dxf>
          </x14:cfRule>
          <x14:cfRule type="containsText" priority="20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0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10"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87" operator="containsText" id="{670F9BD4-6E72-4C8A-9DE6-6D760ABE2EF2}">
            <xm:f>NOT(ISERROR(SEARCH(Auxiliar!$B$21,I1277)))</xm:f>
            <xm:f>Auxiliar!$B$21</xm:f>
            <x14:dxf>
              <font>
                <b/>
                <i val="0"/>
                <color rgb="FFFFC000"/>
              </font>
              <fill>
                <patternFill>
                  <bgColor theme="9" tint="0.59996337778862885"/>
                </patternFill>
              </fill>
            </x14:dxf>
          </x14:cfRule>
          <x14:cfRule type="cellIs" priority="188" operator="equal" id="{A21A7634-FA0B-4602-AFC1-02F4105C6810}">
            <xm:f>Auxiliar!$B$24</xm:f>
            <x14:dxf>
              <font>
                <b/>
                <i val="0"/>
                <color theme="1"/>
              </font>
              <fill>
                <patternFill patternType="darkUp">
                  <bgColor theme="0"/>
                </patternFill>
              </fill>
            </x14:dxf>
          </x14:cfRule>
          <x14:cfRule type="cellIs" priority="189" operator="equal" id="{6FE9802C-F381-43CA-A21F-54F14A81F8B2}">
            <xm:f>Auxiliar!$B$18</xm:f>
            <x14:dxf>
              <font>
                <b/>
                <i val="0"/>
                <color theme="0" tint="-0.499984740745262"/>
              </font>
              <fill>
                <patternFill>
                  <bgColor theme="0" tint="-4.9989318521683403E-2"/>
                </patternFill>
              </fill>
            </x14:dxf>
          </x14:cfRule>
          <x14:cfRule type="containsText" priority="19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9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9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81" operator="containsText" id="{6142BEC0-530B-491C-A9B0-54D3FDEFA333}">
            <xm:f>NOT(ISERROR(SEARCH(Auxiliar!$B$21,I1278)))</xm:f>
            <xm:f>Auxiliar!$B$21</xm:f>
            <x14:dxf>
              <font>
                <b/>
                <i val="0"/>
                <color rgb="FFFFC000"/>
              </font>
              <fill>
                <patternFill>
                  <bgColor theme="9" tint="0.59996337778862885"/>
                </patternFill>
              </fill>
            </x14:dxf>
          </x14:cfRule>
          <x14:cfRule type="cellIs" priority="182" operator="equal" id="{358F6D0A-F9F7-465B-A1B9-1F10C2092035}">
            <xm:f>Auxiliar!$B$24</xm:f>
            <x14:dxf>
              <font>
                <b/>
                <i val="0"/>
                <color theme="1"/>
              </font>
              <fill>
                <patternFill patternType="darkUp">
                  <bgColor theme="0"/>
                </patternFill>
              </fill>
            </x14:dxf>
          </x14:cfRule>
          <x14:cfRule type="cellIs" priority="183" operator="equal" id="{0F0BF42A-65A3-4A1C-A9D9-C3D22AEF3526}">
            <xm:f>Auxiliar!$B$18</xm:f>
            <x14:dxf>
              <font>
                <b/>
                <i val="0"/>
                <color theme="0" tint="-0.499984740745262"/>
              </font>
              <fill>
                <patternFill>
                  <bgColor theme="0" tint="-4.9989318521683403E-2"/>
                </patternFill>
              </fill>
            </x14:dxf>
          </x14:cfRule>
          <x14:cfRule type="containsText" priority="18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8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8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75" operator="containsText" id="{41D9C7DC-0343-4880-92C3-E9E5E74035D0}">
            <xm:f>NOT(ISERROR(SEARCH(Auxiliar!$B$21,I1494)))</xm:f>
            <xm:f>Auxiliar!$B$21</xm:f>
            <x14:dxf>
              <font>
                <b/>
                <i val="0"/>
                <color rgb="FFFFC000"/>
              </font>
              <fill>
                <patternFill>
                  <bgColor theme="9" tint="0.59996337778862885"/>
                </patternFill>
              </fill>
            </x14:dxf>
          </x14:cfRule>
          <x14:cfRule type="cellIs" priority="176" operator="equal" id="{1312F701-7E73-45EE-AB28-2D9E99DC8EF2}">
            <xm:f>Auxiliar!$B$24</xm:f>
            <x14:dxf>
              <font>
                <b/>
                <i val="0"/>
                <color theme="1"/>
              </font>
              <fill>
                <patternFill patternType="darkUp">
                  <bgColor theme="0"/>
                </patternFill>
              </fill>
            </x14:dxf>
          </x14:cfRule>
          <x14:cfRule type="cellIs" priority="177" operator="equal" id="{D2E876AF-8F02-4700-85A4-0261345B6B8E}">
            <xm:f>Auxiliar!$B$18</xm:f>
            <x14:dxf>
              <font>
                <b/>
                <i val="0"/>
                <color theme="0" tint="-0.499984740745262"/>
              </font>
              <fill>
                <patternFill>
                  <bgColor theme="0" tint="-4.9989318521683403E-2"/>
                </patternFill>
              </fill>
            </x14:dxf>
          </x14:cfRule>
          <x14:cfRule type="containsText" priority="17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7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8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69" operator="containsText" id="{2894A03C-3E5F-44BE-8B6E-722E39F9710E}">
            <xm:f>NOT(ISERROR(SEARCH(Auxiliar!$B$21,I1469)))</xm:f>
            <xm:f>Auxiliar!$B$21</xm:f>
            <x14:dxf>
              <font>
                <b/>
                <i val="0"/>
                <color rgb="FFFFC000"/>
              </font>
              <fill>
                <patternFill>
                  <bgColor theme="9" tint="0.59996337778862885"/>
                </patternFill>
              </fill>
            </x14:dxf>
          </x14:cfRule>
          <x14:cfRule type="cellIs" priority="170" operator="equal" id="{EB5D0CD7-AEBB-44EB-B1FA-46E6B515B772}">
            <xm:f>Auxiliar!$B$24</xm:f>
            <x14:dxf>
              <font>
                <b/>
                <i val="0"/>
                <color theme="1"/>
              </font>
              <fill>
                <patternFill patternType="darkUp">
                  <bgColor theme="0"/>
                </patternFill>
              </fill>
            </x14:dxf>
          </x14:cfRule>
          <x14:cfRule type="cellIs" priority="171" operator="equal" id="{71888C3E-3039-46F4-B52E-38A7B2E9EBE7}">
            <xm:f>Auxiliar!$B$18</xm:f>
            <x14:dxf>
              <font>
                <b/>
                <i val="0"/>
                <color theme="0" tint="-0.499984740745262"/>
              </font>
              <fill>
                <patternFill>
                  <bgColor theme="0" tint="-4.9989318521683403E-2"/>
                </patternFill>
              </fill>
            </x14:dxf>
          </x14:cfRule>
          <x14:cfRule type="containsText" priority="17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7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7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45" operator="containsText" id="{E3BB2710-C741-4DF5-8D19-1B415C19CE71}">
            <xm:f>NOT(ISERROR(SEARCH(Auxiliar!$B$21,I410)))</xm:f>
            <xm:f>Auxiliar!$B$21</xm:f>
            <x14:dxf>
              <font>
                <b/>
                <i val="0"/>
                <color rgb="FFFFC000"/>
              </font>
              <fill>
                <patternFill>
                  <bgColor theme="9" tint="0.59996337778862885"/>
                </patternFill>
              </fill>
            </x14:dxf>
          </x14:cfRule>
          <x14:cfRule type="cellIs" priority="146" operator="equal" id="{0B3DA3C8-A704-493D-B3A5-F25FEE5B8F3C}">
            <xm:f>Auxiliar!$B$24</xm:f>
            <x14:dxf>
              <font>
                <b/>
                <i val="0"/>
                <color theme="1"/>
              </font>
              <fill>
                <patternFill patternType="darkUp">
                  <bgColor theme="0"/>
                </patternFill>
              </fill>
            </x14:dxf>
          </x14:cfRule>
          <x14:cfRule type="cellIs" priority="147" operator="equal" id="{126B789A-B4AA-48A3-9BA6-9AEFBDA12DBB}">
            <xm:f>Auxiliar!$B$18</xm:f>
            <x14:dxf>
              <font>
                <b/>
                <i val="0"/>
                <color theme="0" tint="-0.499984740745262"/>
              </font>
              <fill>
                <patternFill>
                  <bgColor theme="0" tint="-4.9989318521683403E-2"/>
                </patternFill>
              </fill>
            </x14:dxf>
          </x14:cfRule>
          <x14:cfRule type="containsText" priority="14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4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5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51" operator="containsText" id="{68B7879D-8888-41E7-95DE-17E280293E9E}">
            <xm:f>NOT(ISERROR(SEARCH(Auxiliar!$B$21,J410)))</xm:f>
            <xm:f>Auxiliar!$B$21</xm:f>
            <x14:dxf>
              <font>
                <b/>
                <i val="0"/>
                <color rgb="FFFFC000"/>
              </font>
              <fill>
                <patternFill>
                  <bgColor theme="9" tint="0.59996337778862885"/>
                </patternFill>
              </fill>
            </x14:dxf>
          </x14:cfRule>
          <x14:cfRule type="cellIs" priority="152" operator="equal" id="{E7918B5B-09E9-4D9E-8DEF-22B78ADEF4EC}">
            <xm:f>Auxiliar!$B$24</xm:f>
            <x14:dxf>
              <font>
                <b/>
                <i val="0"/>
                <color theme="1"/>
              </font>
              <fill>
                <patternFill patternType="darkUp">
                  <bgColor theme="0"/>
                </patternFill>
              </fill>
            </x14:dxf>
          </x14:cfRule>
          <x14:cfRule type="cellIs" priority="153" operator="equal" id="{C9734D25-1591-44F4-B84A-F9635F7E3A1E}">
            <xm:f>Auxiliar!$B$18</xm:f>
            <x14:dxf>
              <font>
                <b/>
                <i val="0"/>
                <color theme="0" tint="-0.499984740745262"/>
              </font>
              <fill>
                <patternFill>
                  <bgColor theme="0" tint="-4.9989318521683403E-2"/>
                </patternFill>
              </fill>
            </x14:dxf>
          </x14:cfRule>
          <x14:cfRule type="containsText" priority="15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5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5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39" operator="containsText" id="{053ADE2A-33DC-4D47-87A0-A43E990FCFE0}">
            <xm:f>NOT(ISERROR(SEARCH(Auxiliar!$B$21,I1226)))</xm:f>
            <xm:f>Auxiliar!$B$21</xm:f>
            <x14:dxf>
              <font>
                <b/>
                <i val="0"/>
                <color rgb="FFFFC000"/>
              </font>
              <fill>
                <patternFill>
                  <bgColor theme="9" tint="0.59996337778862885"/>
                </patternFill>
              </fill>
            </x14:dxf>
          </x14:cfRule>
          <x14:cfRule type="cellIs" priority="140" operator="equal" id="{161CC153-EC49-49E2-992A-09D95CA921AB}">
            <xm:f>Auxiliar!$B$24</xm:f>
            <x14:dxf>
              <font>
                <b/>
                <i val="0"/>
                <color theme="1"/>
              </font>
              <fill>
                <patternFill patternType="darkUp">
                  <bgColor theme="0"/>
                </patternFill>
              </fill>
            </x14:dxf>
          </x14:cfRule>
          <x14:cfRule type="cellIs" priority="141" operator="equal" id="{36936196-4C4F-4C1E-AE27-5A3FB5998847}">
            <xm:f>Auxiliar!$B$18</xm:f>
            <x14:dxf>
              <font>
                <b/>
                <i val="0"/>
                <color theme="0" tint="-0.499984740745262"/>
              </font>
              <fill>
                <patternFill>
                  <bgColor theme="0" tint="-4.9989318521683403E-2"/>
                </patternFill>
              </fill>
            </x14:dxf>
          </x14:cfRule>
          <x14:cfRule type="containsText" priority="14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4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4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27" operator="containsText" id="{6FB7D112-B12F-4AE2-93DD-0F30CE110E56}">
            <xm:f>NOT(ISERROR(SEARCH(Auxiliar!$B$21,I413)))</xm:f>
            <xm:f>Auxiliar!$B$21</xm:f>
            <x14:dxf>
              <font>
                <b/>
                <i val="0"/>
                <color rgb="FFFFC000"/>
              </font>
              <fill>
                <patternFill>
                  <bgColor theme="9" tint="0.59996337778862885"/>
                </patternFill>
              </fill>
            </x14:dxf>
          </x14:cfRule>
          <x14:cfRule type="cellIs" priority="128" operator="equal" id="{DC888E31-0285-4C20-A9FC-5A79559F296D}">
            <xm:f>Auxiliar!$B$24</xm:f>
            <x14:dxf>
              <font>
                <b/>
                <i val="0"/>
                <color theme="1"/>
              </font>
              <fill>
                <patternFill patternType="darkUp">
                  <bgColor theme="0"/>
                </patternFill>
              </fill>
            </x14:dxf>
          </x14:cfRule>
          <x14:cfRule type="cellIs" priority="129" operator="equal" id="{44F9F159-C255-44EB-B8B0-61D645D04B58}">
            <xm:f>Auxiliar!$B$18</xm:f>
            <x14:dxf>
              <font>
                <b/>
                <i val="0"/>
                <color theme="0" tint="-0.499984740745262"/>
              </font>
              <fill>
                <patternFill>
                  <bgColor theme="0" tint="-4.9989318521683403E-2"/>
                </patternFill>
              </fill>
            </x14:dxf>
          </x14:cfRule>
          <x14:cfRule type="containsText" priority="13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3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3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0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10" operator="equal" id="{76582525-4532-4825-BBF1-E67A9D75C9D5}">
            <xm:f>Auxiliar!$B$24</xm:f>
            <x14:dxf>
              <font>
                <b/>
                <i val="0"/>
                <color theme="1"/>
              </font>
              <fill>
                <patternFill patternType="darkUp">
                  <bgColor theme="0"/>
                </patternFill>
              </fill>
            </x14:dxf>
          </x14:cfRule>
          <x14:cfRule type="cellIs" priority="111" operator="equal" id="{93C49E19-F144-4F91-BF43-40521F41D17C}">
            <xm:f>Auxiliar!$B$18</xm:f>
            <x14:dxf>
              <font>
                <b/>
                <i val="0"/>
                <color theme="0" tint="-0.499984740745262"/>
              </font>
              <fill>
                <patternFill>
                  <bgColor theme="0" tint="-4.9989318521683403E-2"/>
                </patternFill>
              </fill>
            </x14:dxf>
          </x14:cfRule>
          <x14:cfRule type="containsText" priority="11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1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1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0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04" operator="equal" id="{A23AEDE7-80C2-459D-94A3-CF50BC8E067F}">
            <xm:f>Auxiliar!$B$24</xm:f>
            <x14:dxf>
              <font>
                <b/>
                <i val="0"/>
                <color theme="1"/>
              </font>
              <fill>
                <patternFill patternType="darkUp">
                  <bgColor theme="0"/>
                </patternFill>
              </fill>
            </x14:dxf>
          </x14:cfRule>
          <x14:cfRule type="cellIs" priority="105" operator="equal" id="{BD63F02A-7953-4EFD-A25E-5F5A4519C878}">
            <xm:f>Auxiliar!$B$18</xm:f>
            <x14:dxf>
              <font>
                <b/>
                <i val="0"/>
                <color theme="0" tint="-0.499984740745262"/>
              </font>
              <fill>
                <patternFill>
                  <bgColor theme="0" tint="-4.9989318521683403E-2"/>
                </patternFill>
              </fill>
            </x14:dxf>
          </x14:cfRule>
          <x14:cfRule type="containsText" priority="10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0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0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9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98" operator="equal" id="{E65463CC-CED3-418A-850B-2AEC62B95131}">
            <xm:f>Auxiliar!$B$24</xm:f>
            <x14:dxf>
              <font>
                <b/>
                <i val="0"/>
                <color theme="1"/>
              </font>
              <fill>
                <patternFill patternType="darkUp">
                  <bgColor theme="0"/>
                </patternFill>
              </fill>
            </x14:dxf>
          </x14:cfRule>
          <x14:cfRule type="cellIs" priority="99" operator="equal" id="{BFBBF7BF-D3FA-4006-A560-667BD910E543}">
            <xm:f>Auxiliar!$B$18</xm:f>
            <x14:dxf>
              <font>
                <b/>
                <i val="0"/>
                <color theme="0" tint="-0.499984740745262"/>
              </font>
              <fill>
                <patternFill>
                  <bgColor theme="0" tint="-4.9989318521683403E-2"/>
                </patternFill>
              </fill>
            </x14:dxf>
          </x14:cfRule>
          <x14:cfRule type="containsText" priority="10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0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0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91" operator="containsText" id="{EF67F8C9-E09E-4FD8-BD07-0479223BE0A6}">
            <xm:f>NOT(ISERROR(SEARCH(Auxiliar!$B$21,I1268)))</xm:f>
            <xm:f>Auxiliar!$B$21</xm:f>
            <x14:dxf>
              <font>
                <b/>
                <i val="0"/>
                <color rgb="FFFFC000"/>
              </font>
              <fill>
                <patternFill>
                  <bgColor theme="9" tint="0.59996337778862885"/>
                </patternFill>
              </fill>
            </x14:dxf>
          </x14:cfRule>
          <x14:cfRule type="cellIs" priority="92" operator="equal" id="{6ACC69D9-7292-4B8D-BC8D-55E6557D51DB}">
            <xm:f>Auxiliar!$B$24</xm:f>
            <x14:dxf>
              <font>
                <b/>
                <i val="0"/>
                <color theme="1"/>
              </font>
              <fill>
                <patternFill patternType="darkUp">
                  <bgColor theme="0"/>
                </patternFill>
              </fill>
            </x14:dxf>
          </x14:cfRule>
          <x14:cfRule type="cellIs" priority="93" operator="equal" id="{45D65AB3-B34E-494F-B43A-44EB6067A014}">
            <xm:f>Auxiliar!$B$18</xm:f>
            <x14:dxf>
              <font>
                <b/>
                <i val="0"/>
                <color theme="0" tint="-0.499984740745262"/>
              </font>
              <fill>
                <patternFill>
                  <bgColor theme="0" tint="-4.9989318521683403E-2"/>
                </patternFill>
              </fill>
            </x14:dxf>
          </x14:cfRule>
          <x14:cfRule type="containsText" priority="9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9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9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85" operator="containsText" id="{090911DD-7AF7-44CB-9E43-4EBE82C9EF87}">
            <xm:f>NOT(ISERROR(SEARCH(Auxiliar!$B$21,I1269)))</xm:f>
            <xm:f>Auxiliar!$B$21</xm:f>
            <x14:dxf>
              <font>
                <b/>
                <i val="0"/>
                <color rgb="FFFFC000"/>
              </font>
              <fill>
                <patternFill>
                  <bgColor theme="9" tint="0.59996337778862885"/>
                </patternFill>
              </fill>
            </x14:dxf>
          </x14:cfRule>
          <x14:cfRule type="cellIs" priority="86" operator="equal" id="{90B49AF7-0795-46D3-A253-BE81547F04BE}">
            <xm:f>Auxiliar!$B$24</xm:f>
            <x14:dxf>
              <font>
                <b/>
                <i val="0"/>
                <color theme="1"/>
              </font>
              <fill>
                <patternFill patternType="darkUp">
                  <bgColor theme="0"/>
                </patternFill>
              </fill>
            </x14:dxf>
          </x14:cfRule>
          <x14:cfRule type="cellIs" priority="87" operator="equal" id="{88C3A3FB-9C9C-40A1-9659-767FB0EAD0D6}">
            <xm:f>Auxiliar!$B$18</xm:f>
            <x14:dxf>
              <font>
                <b/>
                <i val="0"/>
                <color theme="0" tint="-0.499984740745262"/>
              </font>
              <fill>
                <patternFill>
                  <bgColor theme="0" tint="-4.9989318521683403E-2"/>
                </patternFill>
              </fill>
            </x14:dxf>
          </x14:cfRule>
          <x14:cfRule type="containsText" priority="8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8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9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79" operator="containsText" id="{C06708D4-9C1B-40DA-B5F0-4CF4E517971E}">
            <xm:f>NOT(ISERROR(SEARCH(Auxiliar!$B$21,I1270)))</xm:f>
            <xm:f>Auxiliar!$B$21</xm:f>
            <x14:dxf>
              <font>
                <b/>
                <i val="0"/>
                <color rgb="FFFFC000"/>
              </font>
              <fill>
                <patternFill>
                  <bgColor theme="9" tint="0.59996337778862885"/>
                </patternFill>
              </fill>
            </x14:dxf>
          </x14:cfRule>
          <x14:cfRule type="cellIs" priority="80" operator="equal" id="{06F754F2-1F1C-4B37-BAFA-6883F5D83953}">
            <xm:f>Auxiliar!$B$24</xm:f>
            <x14:dxf>
              <font>
                <b/>
                <i val="0"/>
                <color theme="1"/>
              </font>
              <fill>
                <patternFill patternType="darkUp">
                  <bgColor theme="0"/>
                </patternFill>
              </fill>
            </x14:dxf>
          </x14:cfRule>
          <x14:cfRule type="cellIs" priority="81" operator="equal" id="{276EC598-EE9F-45D7-94E6-928F03518AF8}">
            <xm:f>Auxiliar!$B$18</xm:f>
            <x14:dxf>
              <font>
                <b/>
                <i val="0"/>
                <color theme="0" tint="-0.499984740745262"/>
              </font>
              <fill>
                <patternFill>
                  <bgColor theme="0" tint="-4.9989318521683403E-2"/>
                </patternFill>
              </fill>
            </x14:dxf>
          </x14:cfRule>
          <x14:cfRule type="containsText" priority="8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8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8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73" operator="containsText" id="{DF73C972-CB92-40A2-BAF0-E7C61BA5778F}">
            <xm:f>NOT(ISERROR(SEARCH(Auxiliar!$B$21,I1271)))</xm:f>
            <xm:f>Auxiliar!$B$21</xm:f>
            <x14:dxf>
              <font>
                <b/>
                <i val="0"/>
                <color rgb="FFFFC000"/>
              </font>
              <fill>
                <patternFill>
                  <bgColor theme="9" tint="0.59996337778862885"/>
                </patternFill>
              </fill>
            </x14:dxf>
          </x14:cfRule>
          <x14:cfRule type="cellIs" priority="74" operator="equal" id="{9F26C1FC-CFC4-4288-9400-DD8C239CD49C}">
            <xm:f>Auxiliar!$B$24</xm:f>
            <x14:dxf>
              <font>
                <b/>
                <i val="0"/>
                <color theme="1"/>
              </font>
              <fill>
                <patternFill patternType="darkUp">
                  <bgColor theme="0"/>
                </patternFill>
              </fill>
            </x14:dxf>
          </x14:cfRule>
          <x14:cfRule type="cellIs" priority="75" operator="equal" id="{1756DC76-C5DC-4C7D-8547-CB79B8747803}">
            <xm:f>Auxiliar!$B$18</xm:f>
            <x14:dxf>
              <font>
                <b/>
                <i val="0"/>
                <color theme="0" tint="-0.499984740745262"/>
              </font>
              <fill>
                <patternFill>
                  <bgColor theme="0" tint="-4.9989318521683403E-2"/>
                </patternFill>
              </fill>
            </x14:dxf>
          </x14:cfRule>
          <x14:cfRule type="containsText" priority="7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7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7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67" operator="containsText" id="{16E87EB1-9096-476C-ADA4-24C0C3D91FF4}">
            <xm:f>NOT(ISERROR(SEARCH(Auxiliar!$B$21,I1272)))</xm:f>
            <xm:f>Auxiliar!$B$21</xm:f>
            <x14:dxf>
              <font>
                <b/>
                <i val="0"/>
                <color rgb="FFFFC000"/>
              </font>
              <fill>
                <patternFill>
                  <bgColor theme="9" tint="0.59996337778862885"/>
                </patternFill>
              </fill>
            </x14:dxf>
          </x14:cfRule>
          <x14:cfRule type="cellIs" priority="68" operator="equal" id="{7AF34816-940D-4F70-9EF4-532C1CD6FDAB}">
            <xm:f>Auxiliar!$B$24</xm:f>
            <x14:dxf>
              <font>
                <b/>
                <i val="0"/>
                <color theme="1"/>
              </font>
              <fill>
                <patternFill patternType="darkUp">
                  <bgColor theme="0"/>
                </patternFill>
              </fill>
            </x14:dxf>
          </x14:cfRule>
          <x14:cfRule type="cellIs" priority="69" operator="equal" id="{518B662A-1CC9-449E-BD43-198823D2FA54}">
            <xm:f>Auxiliar!$B$18</xm:f>
            <x14:dxf>
              <font>
                <b/>
                <i val="0"/>
                <color theme="0" tint="-0.499984740745262"/>
              </font>
              <fill>
                <patternFill>
                  <bgColor theme="0" tint="-4.9989318521683403E-2"/>
                </patternFill>
              </fill>
            </x14:dxf>
          </x14:cfRule>
          <x14:cfRule type="containsText" priority="7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7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7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61" operator="containsText" id="{6DE85724-2EE4-4C5C-BFE4-5CDF139191EE}">
            <xm:f>NOT(ISERROR(SEARCH(Auxiliar!$B$21,I1273)))</xm:f>
            <xm:f>Auxiliar!$B$21</xm:f>
            <x14:dxf>
              <font>
                <b/>
                <i val="0"/>
                <color rgb="FFFFC000"/>
              </font>
              <fill>
                <patternFill>
                  <bgColor theme="9" tint="0.59996337778862885"/>
                </patternFill>
              </fill>
            </x14:dxf>
          </x14:cfRule>
          <x14:cfRule type="cellIs" priority="62" operator="equal" id="{108BBB59-B3A9-4718-AE41-245162C547B8}">
            <xm:f>Auxiliar!$B$24</xm:f>
            <x14:dxf>
              <font>
                <b/>
                <i val="0"/>
                <color theme="1"/>
              </font>
              <fill>
                <patternFill patternType="darkUp">
                  <bgColor theme="0"/>
                </patternFill>
              </fill>
            </x14:dxf>
          </x14:cfRule>
          <x14:cfRule type="cellIs" priority="63" operator="equal" id="{9568F5E2-6C96-435A-A8A4-37A212A788A8}">
            <xm:f>Auxiliar!$B$18</xm:f>
            <x14:dxf>
              <font>
                <b/>
                <i val="0"/>
                <color theme="0" tint="-0.499984740745262"/>
              </font>
              <fill>
                <patternFill>
                  <bgColor theme="0" tint="-4.9989318521683403E-2"/>
                </patternFill>
              </fill>
            </x14:dxf>
          </x14:cfRule>
          <x14:cfRule type="containsText" priority="6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6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6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5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56" operator="equal" id="{CCD751C7-B7A2-4F98-8B22-D6FDAB936BE9}">
            <xm:f>Auxiliar!$B$24</xm:f>
            <x14:dxf>
              <font>
                <b/>
                <i val="0"/>
                <color theme="1"/>
              </font>
              <fill>
                <patternFill patternType="darkUp">
                  <bgColor theme="0"/>
                </patternFill>
              </fill>
            </x14:dxf>
          </x14:cfRule>
          <x14:cfRule type="cellIs" priority="57" operator="equal" id="{4D1BE949-1D0D-486A-8EBA-CAC34A73CAEF}">
            <xm:f>Auxiliar!$B$18</xm:f>
            <x14:dxf>
              <font>
                <b/>
                <i val="0"/>
                <color theme="0" tint="-0.499984740745262"/>
              </font>
              <fill>
                <patternFill>
                  <bgColor theme="0" tint="-4.9989318521683403E-2"/>
                </patternFill>
              </fill>
            </x14:dxf>
          </x14:cfRule>
          <x14:cfRule type="containsText" priority="5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5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6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4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50" operator="equal" id="{25D71A38-C4F5-4732-B7AB-6520ECA4FB07}">
            <xm:f>Auxiliar!$B$24</xm:f>
            <x14:dxf>
              <font>
                <b/>
                <i val="0"/>
                <color theme="1"/>
              </font>
              <fill>
                <patternFill patternType="darkUp">
                  <bgColor theme="0"/>
                </patternFill>
              </fill>
            </x14:dxf>
          </x14:cfRule>
          <x14:cfRule type="cellIs" priority="51" operator="equal" id="{8B1AAD81-3C08-40FA-906E-0B19D6772275}">
            <xm:f>Auxiliar!$B$18</xm:f>
            <x14:dxf>
              <font>
                <b/>
                <i val="0"/>
                <color theme="0" tint="-0.499984740745262"/>
              </font>
              <fill>
                <patternFill>
                  <bgColor theme="0" tint="-4.9989318521683403E-2"/>
                </patternFill>
              </fill>
            </x14:dxf>
          </x14:cfRule>
          <x14:cfRule type="containsText" priority="5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5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5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3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32" operator="equal" id="{A6EB2312-FB92-41F7-9CCA-3B81CF6C2FD3}">
            <xm:f>Auxiliar!$B$24</xm:f>
            <x14:dxf>
              <font>
                <b/>
                <i val="0"/>
                <color theme="1"/>
              </font>
              <fill>
                <patternFill patternType="darkUp">
                  <bgColor theme="0"/>
                </patternFill>
              </fill>
            </x14:dxf>
          </x14:cfRule>
          <x14:cfRule type="cellIs" priority="33" operator="equal" id="{BB030E3C-F572-4B6B-8325-D47BA2E295D4}">
            <xm:f>Auxiliar!$B$18</xm:f>
            <x14:dxf>
              <font>
                <b/>
                <i val="0"/>
                <color theme="0" tint="-0.499984740745262"/>
              </font>
              <fill>
                <patternFill>
                  <bgColor theme="0" tint="-4.9989318521683403E-2"/>
                </patternFill>
              </fill>
            </x14:dxf>
          </x14:cfRule>
          <x14:cfRule type="containsText" priority="3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3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3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25" operator="containsText" id="{680189A3-E553-4E28-88AF-4BE37876E399}">
            <xm:f>NOT(ISERROR(SEARCH(Auxiliar!$B$21,I224)))</xm:f>
            <xm:f>Auxiliar!$B$21</xm:f>
            <x14:dxf>
              <font>
                <b/>
                <i val="0"/>
                <color rgb="FFFFC000"/>
              </font>
              <fill>
                <patternFill>
                  <bgColor theme="9" tint="0.59996337778862885"/>
                </patternFill>
              </fill>
            </x14:dxf>
          </x14:cfRule>
          <x14:cfRule type="cellIs" priority="26" operator="equal" id="{837D1480-3614-407B-A9D1-E2F5BA61EA3D}">
            <xm:f>Auxiliar!$B$24</xm:f>
            <x14:dxf>
              <font>
                <b/>
                <i val="0"/>
                <color theme="1"/>
              </font>
              <fill>
                <patternFill patternType="darkUp">
                  <bgColor theme="0"/>
                </patternFill>
              </fill>
            </x14:dxf>
          </x14:cfRule>
          <x14:cfRule type="cellIs" priority="27" operator="equal" id="{782D49B3-623A-4DF5-8308-75A6F81A19FD}">
            <xm:f>Auxiliar!$B$18</xm:f>
            <x14:dxf>
              <font>
                <b/>
                <i val="0"/>
                <color theme="0" tint="-0.499984740745262"/>
              </font>
              <fill>
                <patternFill>
                  <bgColor theme="0" tint="-4.9989318521683403E-2"/>
                </patternFill>
              </fill>
            </x14:dxf>
          </x14:cfRule>
          <x14:cfRule type="containsText" priority="2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30" operator="containsText" id="{26A20443-BC57-4315-9725-5F704346CF3C}">
            <xm:f>NOT(ISERROR(SEARCH(Auxiliar!$B$16,I224)))</xm:f>
            <xm:f>Auxiliar!$B$16</xm:f>
            <x14:dxf>
              <font>
                <b/>
                <i val="0"/>
                <color theme="7"/>
              </font>
              <fill>
                <patternFill>
                  <bgColor theme="7" tint="0.79998168889431442"/>
                </patternFill>
              </fill>
            </x14:dxf>
          </x14:cfRule>
          <xm:sqref>I317:I319 I290:I292 I245:I247 I224:I226 I659:I681</xm:sqref>
        </x14:conditionalFormatting>
        <x14:conditionalFormatting xmlns:xm="http://schemas.microsoft.com/office/excel/2006/main">
          <x14:cfRule type="containsText" priority="19" operator="containsText" id="{8983D8D5-C2D6-4B72-B323-1B9C72824199}">
            <xm:f>NOT(ISERROR(SEARCH(Auxiliar!$B$21,I10)))</xm:f>
            <xm:f>Auxiliar!$B$21</xm:f>
            <x14:dxf>
              <font>
                <b/>
                <i val="0"/>
                <color rgb="FFFFC000"/>
              </font>
              <fill>
                <patternFill>
                  <bgColor theme="9" tint="0.59996337778862885"/>
                </patternFill>
              </fill>
            </x14:dxf>
          </x14:cfRule>
          <x14:cfRule type="cellIs" priority="20" operator="equal" id="{851F9D3C-DE91-4C20-A255-DBA976D47256}">
            <xm:f>Auxiliar!$B$24</xm:f>
            <x14:dxf>
              <font>
                <b/>
                <i val="0"/>
                <color theme="1"/>
              </font>
              <fill>
                <patternFill patternType="darkUp">
                  <bgColor theme="0"/>
                </patternFill>
              </fill>
            </x14:dxf>
          </x14:cfRule>
          <x14:cfRule type="cellIs" priority="21" operator="equal" id="{AEB76678-92B6-4E42-BA0D-898B2AB889D7}">
            <xm:f>Auxiliar!$B$18</xm:f>
            <x14:dxf>
              <font>
                <b/>
                <i val="0"/>
                <color theme="0" tint="-0.499984740745262"/>
              </font>
              <fill>
                <patternFill>
                  <bgColor theme="0" tint="-4.9989318521683403E-2"/>
                </patternFill>
              </fill>
            </x14:dxf>
          </x14:cfRule>
          <x14:cfRule type="containsText" priority="2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13" operator="containsText" id="{162986D1-28E9-48ED-80CB-2AAEEF75391D}">
            <xm:f>NOT(ISERROR(SEARCH(Auxiliar!$B$21,I414)))</xm:f>
            <xm:f>Auxiliar!$B$21</xm:f>
            <x14:dxf>
              <font>
                <b/>
                <i val="0"/>
                <color rgb="FFFFC000"/>
              </font>
              <fill>
                <patternFill>
                  <bgColor theme="9" tint="0.59996337778862885"/>
                </patternFill>
              </fill>
            </x14:dxf>
          </x14:cfRule>
          <x14:cfRule type="cellIs" priority="14" operator="equal" id="{60275996-FD9F-41B5-8D49-7D95067278C6}">
            <xm:f>Auxiliar!$B$24</xm:f>
            <x14:dxf>
              <font>
                <b/>
                <i val="0"/>
                <color theme="1"/>
              </font>
              <fill>
                <patternFill patternType="darkUp">
                  <bgColor theme="0"/>
                </patternFill>
              </fill>
            </x14:dxf>
          </x14:cfRule>
          <x14:cfRule type="cellIs" priority="15" operator="equal" id="{1A69C82C-80C8-4E76-8F29-E97D0A8E04D5}">
            <xm:f>Auxiliar!$B$18</xm:f>
            <x14:dxf>
              <font>
                <b/>
                <i val="0"/>
                <color theme="0" tint="-0.499984740745262"/>
              </font>
              <fill>
                <patternFill>
                  <bgColor theme="0" tint="-4.9989318521683403E-2"/>
                </patternFill>
              </fill>
            </x14:dxf>
          </x14:cfRule>
          <x14:cfRule type="containsText" priority="1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1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1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7" operator="containsText" id="{BA88C474-7CD5-48E4-BBD7-168BDC558FC6}">
            <xm:f>NOT(ISERROR(SEARCH(Auxiliar!$B$21,I415)))</xm:f>
            <xm:f>Auxiliar!$B$21</xm:f>
            <x14:dxf>
              <font>
                <b/>
                <i val="0"/>
                <color rgb="FFFFC000"/>
              </font>
              <fill>
                <patternFill>
                  <bgColor theme="9" tint="0.59996337778862885"/>
                </patternFill>
              </fill>
            </x14:dxf>
          </x14:cfRule>
          <x14:cfRule type="cellIs" priority="8" operator="equal" id="{09D83F8A-0668-4607-A721-73C22171BC18}">
            <xm:f>Auxiliar!$B$24</xm:f>
            <x14:dxf>
              <font>
                <b/>
                <i val="0"/>
                <color theme="1"/>
              </font>
              <fill>
                <patternFill patternType="darkUp">
                  <bgColor theme="0"/>
                </patternFill>
              </fill>
            </x14:dxf>
          </x14:cfRule>
          <x14:cfRule type="cellIs" priority="9" operator="equal" id="{630BCF05-930B-451C-86BD-163F900C7CF1}">
            <xm:f>Auxiliar!$B$18</xm:f>
            <x14:dxf>
              <font>
                <b/>
                <i val="0"/>
                <color theme="0" tint="-0.499984740745262"/>
              </font>
              <fill>
                <patternFill>
                  <bgColor theme="0" tint="-4.9989318521683403E-2"/>
                </patternFill>
              </fill>
            </x14:dxf>
          </x14:cfRule>
          <x14:cfRule type="containsText" priority="1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1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1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2" operator="equal" id="{AAC4057F-091A-4CCE-A2D8-67277F1B91D7}">
            <xm:f>Auxiliar!$B$24</xm:f>
            <x14:dxf>
              <font>
                <b/>
                <i val="0"/>
                <color theme="1"/>
              </font>
              <fill>
                <patternFill patternType="darkUp">
                  <bgColor theme="0"/>
                </patternFill>
              </fill>
            </x14:dxf>
          </x14:cfRule>
          <x14:cfRule type="cellIs" priority="3" operator="equal" id="{BB8D8ECB-4F4D-4848-948A-7981DF781C2D}">
            <xm:f>Auxiliar!$B$18</xm:f>
            <x14:dxf>
              <font>
                <b/>
                <i val="0"/>
                <color theme="0" tint="-0.499984740745262"/>
              </font>
              <fill>
                <patternFill>
                  <bgColor theme="0" tint="-4.9989318521683403E-2"/>
                </patternFill>
              </fill>
            </x14:dxf>
          </x14:cfRule>
          <x14:cfRule type="containsText" priority="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8984375" hidden="1" customWidth="1"/>
    <col min="5" max="5" width="39.59765625" customWidth="1"/>
    <col min="6" max="6" width="23.09765625" bestFit="1" customWidth="1"/>
    <col min="7" max="7" width="11.3984375" customWidth="1"/>
    <col min="8" max="8" width="30.59765625" customWidth="1"/>
    <col min="9" max="9" width="27.5976562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59765625" style="258" customWidth="1"/>
    <col min="19" max="19" width="6.39843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0.25</v>
      </c>
      <c r="P152" s="309">
        <f ca="1">SUMPRODUCT(P153:P158,U153:U158)/SUM(U153:U158)</f>
        <v>1</v>
      </c>
      <c r="Q152" s="242">
        <f t="shared" ca="1" si="33"/>
        <v>-0.75</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2.1 Em Teste</v>
      </c>
      <c r="I153" s="271" t="s">
        <v>38</v>
      </c>
      <c r="J153" s="280">
        <v>45621</v>
      </c>
      <c r="K153" s="280">
        <v>45622</v>
      </c>
      <c r="L153" s="285">
        <f t="array" ref="L153">MIN(IF(W153:CI153&gt;0,$W$16:$CI$16))</f>
        <v>45645</v>
      </c>
      <c r="M153" s="286">
        <f t="array" ref="M153">MAX(IF(W153:CI153&gt;0,$W$16:$CI$16))</f>
        <v>45645</v>
      </c>
      <c r="N153" s="286"/>
      <c r="O153" s="243">
        <f>VLOOKUP(H153,Auxiliar!$B$16:$E$24,4,0)</f>
        <v>0.25</v>
      </c>
      <c r="P153" s="243">
        <f t="shared" ref="P153:P158" ca="1" si="35">IF(TODAY()&lt;=L153,0,MIN((TODAY()-L153)/(M153-L153+1),100%))</f>
        <v>1</v>
      </c>
      <c r="Q153" s="242">
        <f t="shared" ca="1" si="33"/>
        <v>-0.75</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2.1 Em Teste</v>
      </c>
      <c r="I154" s="271" t="s">
        <v>38</v>
      </c>
      <c r="J154" s="280">
        <v>45621</v>
      </c>
      <c r="K154" s="280">
        <v>45622</v>
      </c>
      <c r="L154" s="285">
        <f t="array" ref="L154">MIN(IF(W154:CI154&gt;0,$W$16:$CI$16))</f>
        <v>45645</v>
      </c>
      <c r="M154" s="286">
        <f t="array" ref="M154">MAX(IF(W154:CI154&gt;0,$W$16:$CI$16))</f>
        <v>45645</v>
      </c>
      <c r="N154" s="286"/>
      <c r="O154" s="243">
        <f>VLOOKUP(H154,Auxiliar!$B$16:$E$24,4,0)</f>
        <v>0.25</v>
      </c>
      <c r="P154" s="243">
        <f t="shared" ca="1" si="35"/>
        <v>1</v>
      </c>
      <c r="Q154" s="242">
        <f t="shared" ca="1" si="33"/>
        <v>-0.75</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2.1 Em Teste</v>
      </c>
      <c r="I155" s="271" t="s">
        <v>38</v>
      </c>
      <c r="J155" s="280">
        <v>45621</v>
      </c>
      <c r="K155" s="280">
        <v>45622</v>
      </c>
      <c r="L155" s="285">
        <f t="array" ref="L155">MIN(IF(W155:CI155&gt;0,$W$16:$CI$16))</f>
        <v>45645</v>
      </c>
      <c r="M155" s="286">
        <f t="array" ref="M155">MAX(IF(W155:CI155&gt;0,$W$16:$CI$16))</f>
        <v>45645</v>
      </c>
      <c r="N155" s="286"/>
      <c r="O155" s="243">
        <f>VLOOKUP(H155,Auxiliar!$B$16:$E$24,4,0)</f>
        <v>0.25</v>
      </c>
      <c r="P155" s="243">
        <f t="shared" ca="1" si="35"/>
        <v>1</v>
      </c>
      <c r="Q155" s="242">
        <f t="shared" ca="1" si="33"/>
        <v>-0.75</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2.1 Em Teste</v>
      </c>
      <c r="I156" s="271" t="s">
        <v>38</v>
      </c>
      <c r="J156" s="280">
        <v>45621</v>
      </c>
      <c r="K156" s="280">
        <v>45622</v>
      </c>
      <c r="L156" s="285">
        <f t="array" ref="L156">MIN(IF(W156:CI156&gt;0,$W$16:$CI$16))</f>
        <v>45636</v>
      </c>
      <c r="M156" s="286">
        <f t="array" ref="M156">MAX(IF(W156:CI156&gt;0,$W$16:$CI$16))</f>
        <v>45637</v>
      </c>
      <c r="N156" s="286"/>
      <c r="O156" s="243">
        <f>VLOOKUP(H156,Auxiliar!$B$16:$E$24,4,0)</f>
        <v>0.25</v>
      </c>
      <c r="P156" s="243">
        <f t="shared" ca="1" si="35"/>
        <v>1</v>
      </c>
      <c r="Q156" s="242">
        <f t="shared" ca="1" si="33"/>
        <v>-0.75</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2.1 Em Teste</v>
      </c>
      <c r="I157" s="271" t="s">
        <v>38</v>
      </c>
      <c r="J157" s="280">
        <v>45621</v>
      </c>
      <c r="K157" s="280">
        <v>45622</v>
      </c>
      <c r="L157" s="285">
        <f t="array" ref="L157">MIN(IF(W157:CI157&gt;0,$W$16:$CI$16))</f>
        <v>45637</v>
      </c>
      <c r="M157" s="286">
        <f t="array" ref="M157">MAX(IF(W157:CI157&gt;0,$W$16:$CI$16))</f>
        <v>45639</v>
      </c>
      <c r="N157" s="286"/>
      <c r="O157" s="243">
        <f>VLOOKUP(H157,Auxiliar!$B$16:$E$24,4,0)</f>
        <v>0.25</v>
      </c>
      <c r="P157" s="243">
        <f t="shared" ca="1" si="35"/>
        <v>1</v>
      </c>
      <c r="Q157" s="242">
        <f t="shared" ca="1" si="33"/>
        <v>-0.75</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2.1 Em Teste</v>
      </c>
      <c r="I158" s="271" t="s">
        <v>38</v>
      </c>
      <c r="J158" s="280">
        <v>45621</v>
      </c>
      <c r="K158" s="280">
        <v>45622</v>
      </c>
      <c r="L158" s="285">
        <f t="array" ref="L158">MIN(IF(W158:CI158&gt;0,$W$16:$CI$16))</f>
        <v>45639</v>
      </c>
      <c r="M158" s="286">
        <f t="array" ref="M158">MAX(IF(W158:CI158&gt;0,$W$16:$CI$16))</f>
        <v>45639</v>
      </c>
      <c r="N158" s="286"/>
      <c r="O158" s="243">
        <f>VLOOKUP(H158,Auxiliar!$B$16:$E$24,4,0)</f>
        <v>0.25</v>
      </c>
      <c r="P158" s="243">
        <f t="shared" ca="1" si="35"/>
        <v>1</v>
      </c>
      <c r="Q158" s="242">
        <f t="shared" ca="1" si="33"/>
        <v>-0.75</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 xml:space="preserve">6. Em implementação </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 xml:space="preserve">6. Em implementação </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 xml:space="preserve">6. Em implementação </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 xml:space="preserve">6. Em implementação </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 xml:space="preserve">6. Em implementação </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 xml:space="preserve">6. Em implementação </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 xml:space="preserve">6. Em implementação </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 xml:space="preserve">6. Em implementação </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6.3291139240506319E-2</v>
      </c>
      <c r="P249" s="309">
        <f ca="1">SUMPRODUCT(P250:P268,U250:U268)/SUM(U250:U268)</f>
        <v>0.25316455696202528</v>
      </c>
      <c r="Q249" s="242">
        <f t="shared" ca="1" si="60"/>
        <v>-0.18987341772151894</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1. Concluído</v>
      </c>
      <c r="I254" s="271" t="s">
        <v>38</v>
      </c>
      <c r="J254" s="280">
        <v>45638</v>
      </c>
      <c r="K254" s="280">
        <v>45639</v>
      </c>
      <c r="L254" s="285">
        <f t="array" ref="L254">MIN(IF(W254:CI254&gt;0,$W$16:$CI$16))</f>
        <v>45674</v>
      </c>
      <c r="M254" s="286">
        <f t="array" ref="M254">MAX(IF(W254:CI254&gt;0,$W$16:$CI$16))</f>
        <v>45674</v>
      </c>
      <c r="N254" s="286"/>
      <c r="O254" s="243">
        <f>VLOOKUP(H254,Auxiliar!$B$16:$E$24,4,0)</f>
        <v>1</v>
      </c>
      <c r="P254" s="310">
        <f ca="1">IF(TODAY()&lt;=L254,0,MIN((TODAY()-L254)/(M254-L254+1),100%))</f>
        <v>1</v>
      </c>
      <c r="Q254" s="242">
        <f t="shared" ca="1" si="60"/>
        <v>0</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66"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65" priority="119" operator="greaterThan">
      <formula>0</formula>
    </cfRule>
  </conditionalFormatting>
  <conditionalFormatting sqref="Y6:CI6 Y9:CI10">
    <cfRule type="cellIs" dxfId="164" priority="131" operator="notEqual">
      <formula>0</formula>
    </cfRule>
  </conditionalFormatting>
  <conditionalFormatting sqref="AO50:BT50">
    <cfRule type="cellIs" dxfId="163" priority="121" operator="greaterThan">
      <formula>0</formula>
    </cfRule>
  </conditionalFormatting>
  <conditionalFormatting sqref="AO70:BT73 BU70:CI75 AP74:AT74">
    <cfRule type="cellIs" dxfId="162" priority="76" operator="greaterThan">
      <formula>0</formula>
    </cfRule>
  </conditionalFormatting>
  <conditionalFormatting sqref="AO88:CI88">
    <cfRule type="cellIs" dxfId="161" priority="118" operator="greaterThan">
      <formula>0</formula>
    </cfRule>
  </conditionalFormatting>
  <conditionalFormatting sqref="BB218">
    <cfRule type="cellIs" dxfId="160" priority="84" operator="greaterThan">
      <formula>0</formula>
    </cfRule>
  </conditionalFormatting>
  <conditionalFormatting sqref="BU89:CI90">
    <cfRule type="cellIs" dxfId="159" priority="130" operator="greaterThan">
      <formula>0</formula>
    </cfRule>
  </conditionalFormatting>
  <conditionalFormatting sqref="V84 V86:V87">
    <cfRule type="cellIs" dxfId="158" priority="73" operator="notEqual">
      <formula>0</formula>
    </cfRule>
  </conditionalFormatting>
  <conditionalFormatting sqref="W84:BD84 BF84:CI84 W87:CI87">
    <cfRule type="cellIs" dxfId="157" priority="72" operator="greaterThan">
      <formula>0</formula>
    </cfRule>
  </conditionalFormatting>
  <conditionalFormatting sqref="V85">
    <cfRule type="cellIs" dxfId="156" priority="71" operator="notEqual">
      <formula>0</formula>
    </cfRule>
  </conditionalFormatting>
  <conditionalFormatting sqref="W85:BD85 BF85:CI85">
    <cfRule type="cellIs" dxfId="155" priority="70" operator="greaterThan">
      <formula>0</formula>
    </cfRule>
  </conditionalFormatting>
  <conditionalFormatting sqref="V93">
    <cfRule type="cellIs" dxfId="154" priority="69" operator="notEqual">
      <formula>0</formula>
    </cfRule>
  </conditionalFormatting>
  <conditionalFormatting sqref="W93:BG93 BI93:CI93">
    <cfRule type="cellIs" dxfId="153" priority="68" operator="greaterThan">
      <formula>0</formula>
    </cfRule>
  </conditionalFormatting>
  <conditionalFormatting sqref="V95">
    <cfRule type="cellIs" dxfId="152" priority="67" operator="notEqual">
      <formula>0</formula>
    </cfRule>
  </conditionalFormatting>
  <conditionalFormatting sqref="W95:BD95 BF95:BG95 BI95:CI95">
    <cfRule type="cellIs" dxfId="151" priority="66" operator="greaterThan">
      <formula>0</formula>
    </cfRule>
  </conditionalFormatting>
  <conditionalFormatting sqref="BE84">
    <cfRule type="cellIs" dxfId="150" priority="65" operator="greaterThan">
      <formula>0</formula>
    </cfRule>
  </conditionalFormatting>
  <conditionalFormatting sqref="BE85">
    <cfRule type="cellIs" dxfId="149" priority="64" operator="greaterThan">
      <formula>0</formula>
    </cfRule>
  </conditionalFormatting>
  <conditionalFormatting sqref="BE95">
    <cfRule type="cellIs" dxfId="148" priority="63" operator="greaterThan">
      <formula>0</formula>
    </cfRule>
  </conditionalFormatting>
  <conditionalFormatting sqref="BH93">
    <cfRule type="cellIs" dxfId="147" priority="62" operator="greaterThan">
      <formula>0</formula>
    </cfRule>
  </conditionalFormatting>
  <conditionalFormatting sqref="BH95">
    <cfRule type="cellIs" dxfId="146" priority="61" operator="greaterThan">
      <formula>0</formula>
    </cfRule>
  </conditionalFormatting>
  <conditionalFormatting sqref="W86:CI86">
    <cfRule type="cellIs" dxfId="145" priority="60" operator="greaterThan">
      <formula>0</formula>
    </cfRule>
  </conditionalFormatting>
  <conditionalFormatting sqref="BH83">
    <cfRule type="cellIs" dxfId="144" priority="59" operator="greaterThan">
      <formula>0</formula>
    </cfRule>
  </conditionalFormatting>
  <conditionalFormatting sqref="W103:BG103 BI103:CI103">
    <cfRule type="cellIs" dxfId="143" priority="57" operator="greaterThan">
      <formula>0</formula>
    </cfRule>
  </conditionalFormatting>
  <conditionalFormatting sqref="V103">
    <cfRule type="cellIs" dxfId="142" priority="58" operator="notEqual">
      <formula>0</formula>
    </cfRule>
  </conditionalFormatting>
  <conditionalFormatting sqref="V105">
    <cfRule type="cellIs" dxfId="141" priority="56" operator="notEqual">
      <formula>0</formula>
    </cfRule>
  </conditionalFormatting>
  <conditionalFormatting sqref="W105:CI105">
    <cfRule type="cellIs" dxfId="140" priority="55" operator="greaterThan">
      <formula>0</formula>
    </cfRule>
  </conditionalFormatting>
  <conditionalFormatting sqref="V102">
    <cfRule type="cellIs" dxfId="139" priority="54" operator="notEqual">
      <formula>0</formula>
    </cfRule>
  </conditionalFormatting>
  <conditionalFormatting sqref="W102:CI102">
    <cfRule type="cellIs" dxfId="138" priority="53" operator="greaterThan">
      <formula>0</formula>
    </cfRule>
  </conditionalFormatting>
  <conditionalFormatting sqref="V104">
    <cfRule type="cellIs" dxfId="137" priority="52" operator="notEqual">
      <formula>0</formula>
    </cfRule>
  </conditionalFormatting>
  <conditionalFormatting sqref="W104:CI104">
    <cfRule type="cellIs" dxfId="136" priority="51" operator="greaterThan">
      <formula>0</formula>
    </cfRule>
  </conditionalFormatting>
  <conditionalFormatting sqref="BH103">
    <cfRule type="cellIs" dxfId="135" priority="50" operator="greaterThan">
      <formula>0</formula>
    </cfRule>
  </conditionalFormatting>
  <conditionalFormatting sqref="V137:V138">
    <cfRule type="cellIs" dxfId="134" priority="49" operator="notEqual">
      <formula>0</formula>
    </cfRule>
  </conditionalFormatting>
  <conditionalFormatting sqref="W137:CI138">
    <cfRule type="cellIs" dxfId="133" priority="48" operator="greaterThan">
      <formula>0</formula>
    </cfRule>
  </conditionalFormatting>
  <conditionalFormatting sqref="V136">
    <cfRule type="cellIs" dxfId="132" priority="47" operator="notEqual">
      <formula>0</formula>
    </cfRule>
  </conditionalFormatting>
  <conditionalFormatting sqref="W136:CI136">
    <cfRule type="cellIs" dxfId="131" priority="46" operator="greaterThan">
      <formula>0</formula>
    </cfRule>
  </conditionalFormatting>
  <conditionalFormatting sqref="V133:V134">
    <cfRule type="cellIs" dxfId="130" priority="45" operator="notEqual">
      <formula>0</formula>
    </cfRule>
  </conditionalFormatting>
  <conditionalFormatting sqref="W133:CI134">
    <cfRule type="cellIs" dxfId="129" priority="44" operator="greaterThan">
      <formula>0</formula>
    </cfRule>
  </conditionalFormatting>
  <conditionalFormatting sqref="V132">
    <cfRule type="cellIs" dxfId="128" priority="43" operator="notEqual">
      <formula>0</formula>
    </cfRule>
  </conditionalFormatting>
  <conditionalFormatting sqref="W132:CI132">
    <cfRule type="cellIs" dxfId="127" priority="42" operator="greaterThan">
      <formula>0</formula>
    </cfRule>
  </conditionalFormatting>
  <conditionalFormatting sqref="BM83">
    <cfRule type="cellIs" dxfId="126" priority="41" operator="greaterThan">
      <formula>0</formula>
    </cfRule>
  </conditionalFormatting>
  <conditionalFormatting sqref="CB83">
    <cfRule type="cellIs" dxfId="125" priority="40" operator="greaterThan">
      <formula>0</formula>
    </cfRule>
  </conditionalFormatting>
  <conditionalFormatting sqref="V165">
    <cfRule type="cellIs" dxfId="124" priority="39" operator="notEqual">
      <formula>0</formula>
    </cfRule>
  </conditionalFormatting>
  <conditionalFormatting sqref="W165:CI165">
    <cfRule type="cellIs" dxfId="123" priority="38" operator="greaterThan">
      <formula>0</formula>
    </cfRule>
  </conditionalFormatting>
  <conditionalFormatting sqref="V141">
    <cfRule type="cellIs" dxfId="122" priority="36" operator="notEqual">
      <formula>0</formula>
    </cfRule>
  </conditionalFormatting>
  <conditionalFormatting sqref="W141:CA141">
    <cfRule type="cellIs" dxfId="121" priority="35" operator="greaterThan">
      <formula>0</formula>
    </cfRule>
  </conditionalFormatting>
  <conditionalFormatting sqref="CG148:CG159">
    <cfRule type="cellIs" dxfId="120" priority="34" operator="greaterThan">
      <formula>0</formula>
    </cfRule>
  </conditionalFormatting>
  <conditionalFormatting sqref="V169">
    <cfRule type="cellIs" dxfId="119" priority="33" operator="notEqual">
      <formula>0</formula>
    </cfRule>
  </conditionalFormatting>
  <conditionalFormatting sqref="W169:CI169">
    <cfRule type="cellIs" dxfId="118" priority="32" operator="greaterThan">
      <formula>0</formula>
    </cfRule>
  </conditionalFormatting>
  <conditionalFormatting sqref="CH144:CI144">
    <cfRule type="cellIs" dxfId="117" priority="29" operator="greaterThan">
      <formula>0</formula>
    </cfRule>
  </conditionalFormatting>
  <conditionalFormatting sqref="V144">
    <cfRule type="cellIs" dxfId="116" priority="28" operator="notEqual">
      <formula>0</formula>
    </cfRule>
  </conditionalFormatting>
  <conditionalFormatting sqref="W144:CA144">
    <cfRule type="cellIs" dxfId="115" priority="27" operator="greaterThan">
      <formula>0</formula>
    </cfRule>
  </conditionalFormatting>
  <conditionalFormatting sqref="V145:V146">
    <cfRule type="cellIs" dxfId="114" priority="25" operator="notEqual">
      <formula>0</formula>
    </cfRule>
  </conditionalFormatting>
  <conditionalFormatting sqref="W146:CF146 CH145:CI146 CC145:CF145 W145:CA145">
    <cfRule type="cellIs" dxfId="113" priority="24" operator="greaterThan">
      <formula>0</formula>
    </cfRule>
  </conditionalFormatting>
  <conditionalFormatting sqref="CG145:CG146">
    <cfRule type="cellIs" dxfId="112" priority="23" operator="greaterThan">
      <formula>0</formula>
    </cfRule>
  </conditionalFormatting>
  <conditionalFormatting sqref="V147">
    <cfRule type="cellIs" dxfId="111" priority="22" operator="notEqual">
      <formula>0</formula>
    </cfRule>
  </conditionalFormatting>
  <conditionalFormatting sqref="W147:CI147">
    <cfRule type="cellIs" dxfId="110" priority="21" operator="greaterThan">
      <formula>0</formula>
    </cfRule>
  </conditionalFormatting>
  <conditionalFormatting sqref="CB145">
    <cfRule type="cellIs" dxfId="109" priority="20" operator="greaterThan">
      <formula>0</formula>
    </cfRule>
  </conditionalFormatting>
  <conditionalFormatting sqref="V130">
    <cfRule type="cellIs" dxfId="108" priority="19" operator="notEqual">
      <formula>0</formula>
    </cfRule>
  </conditionalFormatting>
  <conditionalFormatting sqref="W130:CI130">
    <cfRule type="cellIs" dxfId="107" priority="18" operator="greaterThan">
      <formula>0</formula>
    </cfRule>
  </conditionalFormatting>
  <conditionalFormatting sqref="V131">
    <cfRule type="cellIs" dxfId="106" priority="17" operator="notEqual">
      <formula>0</formula>
    </cfRule>
  </conditionalFormatting>
  <conditionalFormatting sqref="W131:CI131">
    <cfRule type="cellIs" dxfId="105" priority="16" operator="greaterThan">
      <formula>0</formula>
    </cfRule>
  </conditionalFormatting>
  <conditionalFormatting sqref="V248">
    <cfRule type="cellIs" dxfId="104" priority="15" operator="notEqual">
      <formula>0</formula>
    </cfRule>
  </conditionalFormatting>
  <conditionalFormatting sqref="W248:CI248">
    <cfRule type="cellIs" dxfId="103" priority="14" operator="greaterThan">
      <formula>0</formula>
    </cfRule>
  </conditionalFormatting>
  <conditionalFormatting sqref="V171">
    <cfRule type="cellIs" dxfId="102" priority="11" operator="notEqual">
      <formula>0</formula>
    </cfRule>
  </conditionalFormatting>
  <conditionalFormatting sqref="W171:CI171">
    <cfRule type="cellIs" dxfId="101" priority="10" operator="greaterThan">
      <formula>0</formula>
    </cfRule>
  </conditionalFormatting>
  <conditionalFormatting sqref="V250:V251">
    <cfRule type="cellIs" dxfId="100" priority="9" operator="notEqual">
      <formula>0</formula>
    </cfRule>
  </conditionalFormatting>
  <conditionalFormatting sqref="W250:CI251">
    <cfRule type="cellIs" dxfId="99" priority="8" operator="greaterThan">
      <formula>0</formula>
    </cfRule>
  </conditionalFormatting>
  <conditionalFormatting sqref="V252:V253">
    <cfRule type="cellIs" dxfId="98" priority="7" operator="notEqual">
      <formula>0</formula>
    </cfRule>
  </conditionalFormatting>
  <conditionalFormatting sqref="W252:CI253">
    <cfRule type="cellIs" dxfId="97" priority="6" operator="greaterThan">
      <formula>0</formula>
    </cfRule>
  </conditionalFormatting>
  <conditionalFormatting sqref="V254">
    <cfRule type="cellIs" dxfId="96" priority="5" operator="notEqual">
      <formula>0</formula>
    </cfRule>
  </conditionalFormatting>
  <conditionalFormatting sqref="W254:CF254 CH254:CI254">
    <cfRule type="cellIs" dxfId="95" priority="4" operator="greaterThan">
      <formula>0</formula>
    </cfRule>
  </conditionalFormatting>
  <conditionalFormatting sqref="CG254">
    <cfRule type="cellIs" dxfId="94" priority="3" operator="greaterThan">
      <formula>0</formula>
    </cfRule>
  </conditionalFormatting>
  <conditionalFormatting sqref="V249">
    <cfRule type="cellIs" dxfId="93" priority="2" operator="notEqual">
      <formula>0</formula>
    </cfRule>
  </conditionalFormatting>
  <conditionalFormatting sqref="W249:CI249">
    <cfRule type="cellIs" dxfId="92"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8" sqref="F28"/>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7" si="21">E74&amp;F74</f>
        <v/>
      </c>
      <c r="B74" s="63" t="s">
        <v>26</v>
      </c>
      <c r="C74" s="96" t="s">
        <v>54</v>
      </c>
      <c r="D74" s="96"/>
      <c r="E74" s="103"/>
      <c r="F74" s="96"/>
      <c r="G74" s="96"/>
      <c r="H74" s="96"/>
      <c r="I74" s="185">
        <f>SUM(I75:I238)</f>
        <v>839.75000000000261</v>
      </c>
      <c r="J74" s="185">
        <f>ROUNDUP(I74/8,0)</f>
        <v>105</v>
      </c>
      <c r="K74" s="185">
        <f>SUM(K75:K238)</f>
        <v>821.18750000000239</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1. Concluído</v>
      </c>
      <c r="H237" s="64">
        <f>VLOOKUP(A237,'Aux - pivots1'!$A:$B,2,0)</f>
        <v>1</v>
      </c>
      <c r="I237" s="186">
        <f>SUMIFS(Table1[Estimação (horas)],Table1[Tabela],Plano_V3!E237,Table1[Campo],Plano_V3!F237)</f>
        <v>4.0999999999999996</v>
      </c>
      <c r="J237" s="186">
        <f>I237/8</f>
        <v>0.51249999999999996</v>
      </c>
      <c r="K237" s="186">
        <f>SUMIFS(Table1[Horas efetivas],Table1[Tabela],Plano_V3!E237,Table1[Campo],Plano_V3!F237)</f>
        <v>4.0999999999999996</v>
      </c>
      <c r="L237" s="186">
        <f>K237/8</f>
        <v>0.51249999999999996</v>
      </c>
      <c r="M237" s="180"/>
      <c r="N237" s="180">
        <f>L237/J237</f>
        <v>1</v>
      </c>
      <c r="O237" s="180">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4.8"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2.2 Em especificação</v>
      </c>
      <c r="H240" s="64">
        <f>VLOOKUP(A240,'Aux - pivots1'!$A:$B,2,0)</f>
        <v>3</v>
      </c>
      <c r="I240" s="186">
        <f>SUMIFS(Table1[Estimação (horas)],Table1[Tabela],Plano_V3!E240,Table1[Campo],Plano_V3!F240)</f>
        <v>8.5</v>
      </c>
      <c r="J240" s="186">
        <f t="shared" ref="J240:J324" si="42">I240/8</f>
        <v>1.0625</v>
      </c>
      <c r="K240" s="186">
        <f>SUMIFS(Table1[Horas efetivas],Table1[Tabela],Plano_V3!E240,Table1[Campo],Plano_V3!F240)</f>
        <v>4.25</v>
      </c>
      <c r="L240" s="186">
        <f>K240/8</f>
        <v>0.53125</v>
      </c>
      <c r="M240" s="180"/>
      <c r="N240" s="180">
        <f>L240/J240</f>
        <v>0.5</v>
      </c>
      <c r="O240" s="180">
        <f t="shared" si="31"/>
        <v>0.5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2.2 Em especificação</v>
      </c>
      <c r="H241" s="64">
        <f>VLOOKUP(A241,'Aux - pivots1'!$A:$B,2,0)</f>
        <v>3</v>
      </c>
      <c r="I241" s="186">
        <f>SUMIFS(Table1[Estimação (horas)],Table1[Tabela],Plano_V3!E241,Table1[Campo],Plano_V3!F241)</f>
        <v>0.6</v>
      </c>
      <c r="J241" s="186">
        <f t="shared" si="42"/>
        <v>7.4999999999999997E-2</v>
      </c>
      <c r="K241" s="186">
        <f>SUMIFS(Table1[Horas efetivas],Table1[Tabela],Plano_V3!E241,Table1[Campo],Plano_V3!F241)</f>
        <v>0.3</v>
      </c>
      <c r="L241" s="186">
        <f t="shared" ref="L241:L325" si="43">K241/8</f>
        <v>3.7499999999999999E-2</v>
      </c>
      <c r="M241" s="180"/>
      <c r="N241" s="180">
        <f t="shared" ref="N241:N325" si="44">L241/J241</f>
        <v>0.5</v>
      </c>
      <c r="O241" s="180">
        <f t="shared" si="31"/>
        <v>0.5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2.2 Em especificação</v>
      </c>
      <c r="H242" s="64">
        <f>VLOOKUP(A242,'Aux - pivots1'!$A:$B,2,0)</f>
        <v>3</v>
      </c>
      <c r="I242" s="186">
        <f>SUMIFS(Table1[Estimação (horas)],Table1[Tabela],Plano_V3!E242,Table1[Campo],Plano_V3!F242)</f>
        <v>0.6</v>
      </c>
      <c r="J242" s="186">
        <f t="shared" si="42"/>
        <v>7.4999999999999997E-2</v>
      </c>
      <c r="K242" s="186">
        <f>SUMIFS(Table1[Horas efetivas],Table1[Tabela],Plano_V3!E242,Table1[Campo],Plano_V3!F242)</f>
        <v>0.3</v>
      </c>
      <c r="L242" s="186">
        <f t="shared" si="43"/>
        <v>3.7499999999999999E-2</v>
      </c>
      <c r="M242" s="180"/>
      <c r="N242" s="180">
        <f t="shared" si="44"/>
        <v>0.5</v>
      </c>
      <c r="O242" s="180">
        <f t="shared" si="31"/>
        <v>0.5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2.2 Em especificação</v>
      </c>
      <c r="H243" s="64">
        <f>VLOOKUP(A243,'Aux - pivots1'!$A:$B,2,0)</f>
        <v>3</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2.2 Em especificação</v>
      </c>
      <c r="H244" s="64">
        <f>VLOOKUP(A244,'Aux - pivots1'!$A:$B,2,0)</f>
        <v>3</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2.2 Em especificação</v>
      </c>
      <c r="H245" s="64">
        <f>VLOOKUP(A245,'Aux - pivots1'!$A:$B,2,0)</f>
        <v>3</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2.2 Em especificação</v>
      </c>
      <c r="H246" s="64">
        <f>VLOOKUP(A246,'Aux - pivots1'!$A:$B,2,0)</f>
        <v>3</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2.2 Em especificação</v>
      </c>
      <c r="H247" s="64">
        <f>VLOOKUP(A247,'Aux - pivots1'!$A:$B,2,0)</f>
        <v>3</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2.2 Em especificação</v>
      </c>
      <c r="H248" s="64">
        <f>VLOOKUP(A248,'Aux - pivots1'!$A:$B,2,0)</f>
        <v>3</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2.2 Em especificação</v>
      </c>
      <c r="H249" s="64">
        <f>VLOOKUP(A249,'Aux - pivots1'!$A:$B,2,0)</f>
        <v>3</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2.2 Em especificação</v>
      </c>
      <c r="H250" s="64">
        <f>VLOOKUP(A250,'Aux - pivots1'!$A:$B,2,0)</f>
        <v>3</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2.2 Em especificação</v>
      </c>
      <c r="H251" s="64">
        <f>VLOOKUP(A251,'Aux - pivots1'!$A:$B,2,0)</f>
        <v>3</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2396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2.2 Em especificação</v>
      </c>
      <c r="H256" s="64">
        <f>VLOOKUP(A256,'Aux - pivots1'!$A:$B,2,0)</f>
        <v>3</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2.2 Em especificação</v>
      </c>
      <c r="H257" s="64">
        <f>VLOOKUP(A257,'Aux - pivots1'!$A:$B,2,0)</f>
        <v>3</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2.2 Em especificação</v>
      </c>
      <c r="H258" s="64">
        <f>VLOOKUP(A258,'Aux - pivots1'!$A:$B,2,0)</f>
        <v>3</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2.2 Em especificação</v>
      </c>
      <c r="H259" s="64">
        <f>VLOOKUP(A259,'Aux - pivots1'!$A:$B,2,0)</f>
        <v>3</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2.2 Em especificação</v>
      </c>
      <c r="H260" s="64">
        <f>VLOOKUP(A260,'Aux - pivots1'!$A:$B,2,0)</f>
        <v>3</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2.2 Em especificação</v>
      </c>
      <c r="H261" s="64">
        <f>VLOOKUP(A261,'Aux - pivots1'!$A:$B,2,0)</f>
        <v>3</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2.2 Em especificação</v>
      </c>
      <c r="H262" s="64">
        <f>VLOOKUP(A262,'Aux - pivots1'!$A:$B,2,0)</f>
        <v>3</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2.2 Em especificação</v>
      </c>
      <c r="H263" s="64">
        <f>VLOOKUP(A263,'Aux - pivots1'!$A:$B,2,0)</f>
        <v>3</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2.2 Em especificação</v>
      </c>
      <c r="H264" s="64">
        <f>VLOOKUP(A264,'Aux - pivots1'!$A:$B,2,0)</f>
        <v>3</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2.2 Em especificação</v>
      </c>
      <c r="H265" s="64">
        <f>VLOOKUP(A265,'Aux - pivots1'!$A:$B,2,0)</f>
        <v>3</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2.2 Em especificação</v>
      </c>
      <c r="H266" s="64">
        <f>VLOOKUP(A266,'Aux - pivots1'!$A:$B,2,0)</f>
        <v>3</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2.2 Em especificação</v>
      </c>
      <c r="H267" s="64">
        <f>VLOOKUP(A267,'Aux - pivots1'!$A:$B,2,0)</f>
        <v>3</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2.2 Em especificação</v>
      </c>
      <c r="H268" s="64">
        <f>VLOOKUP(A268,'Aux - pivots1'!$A:$B,2,0)</f>
        <v>3</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2.2 Em especificação</v>
      </c>
      <c r="H269" s="64">
        <f>VLOOKUP(A269,'Aux - pivots1'!$A:$B,2,0)</f>
        <v>3</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2.2 Em especificação</v>
      </c>
      <c r="H270" s="64">
        <f>VLOOKUP(A270,'Aux - pivots1'!$A:$B,2,0)</f>
        <v>3</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2.2 Em especificação</v>
      </c>
      <c r="H271" s="64">
        <f>VLOOKUP(A271,'Aux - pivots1'!$A:$B,2,0)</f>
        <v>3</v>
      </c>
      <c r="I271" s="186">
        <f>SUMIFS(Table1[Estimação (horas)],Table1[Tabela],Plano_V3!E271,Table1[Campo],Plano_V3!F271)</f>
        <v>0.6</v>
      </c>
      <c r="J271" s="186">
        <f t="shared" si="42"/>
        <v>7.4999999999999997E-2</v>
      </c>
      <c r="K271" s="186">
        <f>SUMIFS(Table1[Horas efetivas],Table1[Tabela],Plano_V3!E271,Table1[Campo],Plano_V3!F271)</f>
        <v>0.3</v>
      </c>
      <c r="L271" s="186">
        <f t="shared" si="43"/>
        <v>3.7499999999999999E-2</v>
      </c>
      <c r="M271" s="180"/>
      <c r="N271" s="180">
        <f t="shared" si="44"/>
        <v>0.5</v>
      </c>
      <c r="O271" s="180">
        <f t="shared" si="45"/>
        <v>0.5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2.2 Em especificação</v>
      </c>
      <c r="H272" s="64">
        <f>VLOOKUP(A272,'Aux - pivots1'!$A:$B,2,0)</f>
        <v>3</v>
      </c>
      <c r="I272" s="186">
        <f>SUMIFS(Table1[Estimação (horas)],Table1[Tabela],Plano_V3!E272,Table1[Campo],Plano_V3!F272)</f>
        <v>0.6</v>
      </c>
      <c r="J272" s="186">
        <f t="shared" si="42"/>
        <v>7.4999999999999997E-2</v>
      </c>
      <c r="K272" s="186">
        <f>SUMIFS(Table1[Horas efetivas],Table1[Tabela],Plano_V3!E272,Table1[Campo],Plano_V3!F272)</f>
        <v>0.3</v>
      </c>
      <c r="L272" s="186">
        <f t="shared" si="43"/>
        <v>3.7499999999999999E-2</v>
      </c>
      <c r="M272" s="180"/>
      <c r="N272" s="180">
        <f t="shared" si="44"/>
        <v>0.5</v>
      </c>
      <c r="O272" s="180">
        <f t="shared" si="45"/>
        <v>0.5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2.2 Em especificação</v>
      </c>
      <c r="H273" s="64">
        <f>VLOOKUP(A273,'Aux - pivots1'!$A:$B,2,0)</f>
        <v>3</v>
      </c>
      <c r="I273" s="186">
        <f>SUMIFS(Table1[Estimação (horas)],Table1[Tabela],Plano_V3!E273,Table1[Campo],Plano_V3!F273)</f>
        <v>0.6</v>
      </c>
      <c r="J273" s="186">
        <f>I273/8</f>
        <v>7.4999999999999997E-2</v>
      </c>
      <c r="K273" s="186">
        <f>SUMIFS(Table1[Horas efetivas],Table1[Tabela],Plano_V3!E273,Table1[Campo],Plano_V3!F273)</f>
        <v>0.3</v>
      </c>
      <c r="L273" s="186">
        <f>K273/8</f>
        <v>3.7499999999999999E-2</v>
      </c>
      <c r="M273" s="180"/>
      <c r="N273" s="180">
        <f>L273/J273</f>
        <v>0.5</v>
      </c>
      <c r="O273" s="180">
        <f t="shared" si="45"/>
        <v>0.5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2.2 Em especificação</v>
      </c>
      <c r="H274" s="64">
        <f>VLOOKUP(A274,'Aux - pivots1'!$A:$B,2,0)</f>
        <v>3</v>
      </c>
      <c r="I274" s="186">
        <f>SUMIFS(Table1[Estimação (horas)],Table1[Tabela],Plano_V3!E274,Table1[Campo],Plano_V3!F274)</f>
        <v>0.6</v>
      </c>
      <c r="J274" s="186">
        <f t="shared" ref="J274:J285" si="48">I274/8</f>
        <v>7.4999999999999997E-2</v>
      </c>
      <c r="K274" s="186">
        <f>SUMIFS(Table1[Horas efetivas],Table1[Tabela],Plano_V3!E274,Table1[Campo],Plano_V3!F274)</f>
        <v>0.3</v>
      </c>
      <c r="L274" s="186">
        <f t="shared" ref="L274:L285" si="49">K274/8</f>
        <v>3.7499999999999999E-2</v>
      </c>
      <c r="M274" s="180"/>
      <c r="N274" s="180">
        <f t="shared" ref="N274:N285" si="50">L274/J274</f>
        <v>0.5</v>
      </c>
      <c r="O274" s="180">
        <f t="shared" ref="O274:O285" si="51">N274-M274</f>
        <v>0.5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2.2 Em especificação</v>
      </c>
      <c r="H275" s="64">
        <f>VLOOKUP(A275,'Aux - pivots1'!$A:$B,2,0)</f>
        <v>3</v>
      </c>
      <c r="I275" s="186">
        <f>SUMIFS(Table1[Estimação (horas)],Table1[Tabela],Plano_V3!E275,Table1[Campo],Plano_V3!F275)</f>
        <v>0.6</v>
      </c>
      <c r="J275" s="186">
        <f t="shared" si="48"/>
        <v>7.4999999999999997E-2</v>
      </c>
      <c r="K275" s="186">
        <f>SUMIFS(Table1[Horas efetivas],Table1[Tabela],Plano_V3!E275,Table1[Campo],Plano_V3!F275)</f>
        <v>0.3</v>
      </c>
      <c r="L275" s="186">
        <f t="shared" si="49"/>
        <v>3.7499999999999999E-2</v>
      </c>
      <c r="M275" s="180"/>
      <c r="N275" s="180">
        <f t="shared" si="50"/>
        <v>0.5</v>
      </c>
      <c r="O275" s="180">
        <f t="shared" si="51"/>
        <v>0.5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2.2 Em especificação</v>
      </c>
      <c r="H276" s="64">
        <f>VLOOKUP(A276,'Aux - pivots1'!$A:$B,2,0)</f>
        <v>3</v>
      </c>
      <c r="I276" s="186">
        <f>SUMIFS(Table1[Estimação (horas)],Table1[Tabela],Plano_V3!E276,Table1[Campo],Plano_V3!F276)</f>
        <v>0.6</v>
      </c>
      <c r="J276" s="186">
        <f t="shared" si="48"/>
        <v>7.4999999999999997E-2</v>
      </c>
      <c r="K276" s="186">
        <f>SUMIFS(Table1[Horas efetivas],Table1[Tabela],Plano_V3!E276,Table1[Campo],Plano_V3!F276)</f>
        <v>0.3</v>
      </c>
      <c r="L276" s="186">
        <f t="shared" si="49"/>
        <v>3.7499999999999999E-2</v>
      </c>
      <c r="M276" s="180"/>
      <c r="N276" s="180">
        <f t="shared" si="50"/>
        <v>0.5</v>
      </c>
      <c r="O276" s="180">
        <f t="shared" si="51"/>
        <v>0.5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2.2 Em especificação</v>
      </c>
      <c r="H277" s="64">
        <f>VLOOKUP(A277,'Aux - pivots1'!$A:$B,2,0)</f>
        <v>3</v>
      </c>
      <c r="I277" s="186">
        <f>SUMIFS(Table1[Estimação (horas)],Table1[Tabela],Plano_V3!E277,Table1[Campo],Plano_V3!F277)</f>
        <v>0.6</v>
      </c>
      <c r="J277" s="186">
        <f t="shared" si="48"/>
        <v>7.4999999999999997E-2</v>
      </c>
      <c r="K277" s="186">
        <f>SUMIFS(Table1[Horas efetivas],Table1[Tabela],Plano_V3!E277,Table1[Campo],Plano_V3!F277)</f>
        <v>0.3</v>
      </c>
      <c r="L277" s="186">
        <f t="shared" si="49"/>
        <v>3.7499999999999999E-2</v>
      </c>
      <c r="M277" s="180"/>
      <c r="N277" s="180">
        <f t="shared" si="50"/>
        <v>0.5</v>
      </c>
      <c r="O277" s="180">
        <f t="shared" si="51"/>
        <v>0.5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2.2 Em especificação</v>
      </c>
      <c r="H278" s="64">
        <f>VLOOKUP(A278,'Aux - pivots1'!$A:$B,2,0)</f>
        <v>3</v>
      </c>
      <c r="I278" s="186">
        <f>SUMIFS(Table1[Estimação (horas)],Table1[Tabela],Plano_V3!E278,Table1[Campo],Plano_V3!F278)</f>
        <v>0.6</v>
      </c>
      <c r="J278" s="186">
        <f t="shared" si="48"/>
        <v>7.4999999999999997E-2</v>
      </c>
      <c r="K278" s="186">
        <f>SUMIFS(Table1[Horas efetivas],Table1[Tabela],Plano_V3!E278,Table1[Campo],Plano_V3!F278)</f>
        <v>0.3</v>
      </c>
      <c r="L278" s="186">
        <f t="shared" si="49"/>
        <v>3.7499999999999999E-2</v>
      </c>
      <c r="M278" s="180"/>
      <c r="N278" s="180">
        <f t="shared" si="50"/>
        <v>0.5</v>
      </c>
      <c r="O278" s="180">
        <f t="shared" si="51"/>
        <v>0.5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2.2 Em especificação</v>
      </c>
      <c r="H279" s="64">
        <f>VLOOKUP(A279,'Aux - pivots1'!$A:$B,2,0)</f>
        <v>3</v>
      </c>
      <c r="I279" s="186">
        <f>SUMIFS(Table1[Estimação (horas)],Table1[Tabela],Plano_V3!E279,Table1[Campo],Plano_V3!F279)</f>
        <v>0.6</v>
      </c>
      <c r="J279" s="186">
        <f t="shared" si="48"/>
        <v>7.4999999999999997E-2</v>
      </c>
      <c r="K279" s="186">
        <f>SUMIFS(Table1[Horas efetivas],Table1[Tabela],Plano_V3!E279,Table1[Campo],Plano_V3!F279)</f>
        <v>0.3</v>
      </c>
      <c r="L279" s="186">
        <f t="shared" si="49"/>
        <v>3.7499999999999999E-2</v>
      </c>
      <c r="M279" s="180"/>
      <c r="N279" s="180">
        <f t="shared" si="50"/>
        <v>0.5</v>
      </c>
      <c r="O279" s="180">
        <f t="shared" si="51"/>
        <v>0.5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2.2 Em especificação</v>
      </c>
      <c r="H280" s="64">
        <f>VLOOKUP(A280,'Aux - pivots1'!$A:$B,2,0)</f>
        <v>3</v>
      </c>
      <c r="I280" s="186">
        <f>SUMIFS(Table1[Estimação (horas)],Table1[Tabela],Plano_V3!E280,Table1[Campo],Plano_V3!F280)</f>
        <v>0.6</v>
      </c>
      <c r="J280" s="186">
        <f t="shared" si="48"/>
        <v>7.4999999999999997E-2</v>
      </c>
      <c r="K280" s="186">
        <f>SUMIFS(Table1[Horas efetivas],Table1[Tabela],Plano_V3!E280,Table1[Campo],Plano_V3!F280)</f>
        <v>0.3</v>
      </c>
      <c r="L280" s="186">
        <f t="shared" si="49"/>
        <v>3.7499999999999999E-2</v>
      </c>
      <c r="M280" s="180"/>
      <c r="N280" s="180">
        <f t="shared" si="50"/>
        <v>0.5</v>
      </c>
      <c r="O280" s="180">
        <f t="shared" si="51"/>
        <v>0.5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2.2 Em especificação</v>
      </c>
      <c r="H281" s="64">
        <f>VLOOKUP(A281,'Aux - pivots1'!$A:$B,2,0)</f>
        <v>3</v>
      </c>
      <c r="I281" s="186">
        <f>SUMIFS(Table1[Estimação (horas)],Table1[Tabela],Plano_V3!E281,Table1[Campo],Plano_V3!F281)</f>
        <v>0.6</v>
      </c>
      <c r="J281" s="186">
        <f t="shared" si="48"/>
        <v>7.4999999999999997E-2</v>
      </c>
      <c r="K281" s="186">
        <f>SUMIFS(Table1[Horas efetivas],Table1[Tabela],Plano_V3!E281,Table1[Campo],Plano_V3!F281)</f>
        <v>0.3</v>
      </c>
      <c r="L281" s="186">
        <f t="shared" si="49"/>
        <v>3.7499999999999999E-2</v>
      </c>
      <c r="M281" s="180"/>
      <c r="N281" s="180">
        <f t="shared" si="50"/>
        <v>0.5</v>
      </c>
      <c r="O281" s="180">
        <f t="shared" si="51"/>
        <v>0.5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2.2 Em especificação</v>
      </c>
      <c r="H282" s="64">
        <f>VLOOKUP(A282,'Aux - pivots1'!$A:$B,2,0)</f>
        <v>3</v>
      </c>
      <c r="I282" s="186">
        <f>SUMIFS(Table1[Estimação (horas)],Table1[Tabela],Plano_V3!E282,Table1[Campo],Plano_V3!F282)</f>
        <v>0.6</v>
      </c>
      <c r="J282" s="186">
        <f t="shared" si="48"/>
        <v>7.4999999999999997E-2</v>
      </c>
      <c r="K282" s="186">
        <f>SUMIFS(Table1[Horas efetivas],Table1[Tabela],Plano_V3!E282,Table1[Campo],Plano_V3!F282)</f>
        <v>0.3</v>
      </c>
      <c r="L282" s="186">
        <f t="shared" si="49"/>
        <v>3.7499999999999999E-2</v>
      </c>
      <c r="M282" s="180"/>
      <c r="N282" s="180">
        <f t="shared" si="50"/>
        <v>0.5</v>
      </c>
      <c r="O282" s="180">
        <f t="shared" si="51"/>
        <v>0.5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2.2 Em especificação</v>
      </c>
      <c r="H283" s="64">
        <f>VLOOKUP(A283,'Aux - pivots1'!$A:$B,2,0)</f>
        <v>3</v>
      </c>
      <c r="I283" s="186">
        <f>SUMIFS(Table1[Estimação (horas)],Table1[Tabela],Plano_V3!E283,Table1[Campo],Plano_V3!F283)</f>
        <v>0.6</v>
      </c>
      <c r="J283" s="186">
        <f t="shared" si="48"/>
        <v>7.4999999999999997E-2</v>
      </c>
      <c r="K283" s="186">
        <f>SUMIFS(Table1[Horas efetivas],Table1[Tabela],Plano_V3!E283,Table1[Campo],Plano_V3!F283)</f>
        <v>0.3</v>
      </c>
      <c r="L283" s="186">
        <f t="shared" si="49"/>
        <v>3.7499999999999999E-2</v>
      </c>
      <c r="M283" s="180"/>
      <c r="N283" s="180">
        <f t="shared" si="50"/>
        <v>0.5</v>
      </c>
      <c r="O283" s="180">
        <f t="shared" si="51"/>
        <v>0.5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2.2 Em especificação</v>
      </c>
      <c r="H284" s="64">
        <f>VLOOKUP(A284,'Aux - pivots1'!$A:$B,2,0)</f>
        <v>3</v>
      </c>
      <c r="I284" s="186">
        <f>SUMIFS(Table1[Estimação (horas)],Table1[Tabela],Plano_V3!E284,Table1[Campo],Plano_V3!F284)</f>
        <v>0.6</v>
      </c>
      <c r="J284" s="186">
        <f t="shared" si="48"/>
        <v>7.4999999999999997E-2</v>
      </c>
      <c r="K284" s="186">
        <f>SUMIFS(Table1[Horas efetivas],Table1[Tabela],Plano_V3!E284,Table1[Campo],Plano_V3!F284)</f>
        <v>0.3</v>
      </c>
      <c r="L284" s="186">
        <f t="shared" si="49"/>
        <v>3.7499999999999999E-2</v>
      </c>
      <c r="M284" s="180"/>
      <c r="N284" s="180">
        <f t="shared" si="50"/>
        <v>0.5</v>
      </c>
      <c r="O284" s="180">
        <f t="shared" si="51"/>
        <v>0.5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2.2 Em especificação</v>
      </c>
      <c r="H285" s="64">
        <f>VLOOKUP(A285,'Aux - pivots1'!$A:$B,2,0)</f>
        <v>3</v>
      </c>
      <c r="I285" s="186">
        <f>SUMIFS(Table1[Estimação (horas)],Table1[Tabela],Plano_V3!E285,Table1[Campo],Plano_V3!F285)</f>
        <v>0.6</v>
      </c>
      <c r="J285" s="186">
        <f t="shared" si="48"/>
        <v>7.4999999999999997E-2</v>
      </c>
      <c r="K285" s="186">
        <f>SUMIFS(Table1[Horas efetivas],Table1[Tabela],Plano_V3!E285,Table1[Campo],Plano_V3!F285)</f>
        <v>0.3</v>
      </c>
      <c r="L285" s="186">
        <f t="shared" si="49"/>
        <v>3.7499999999999999E-2</v>
      </c>
      <c r="M285" s="180"/>
      <c r="N285" s="180">
        <f t="shared" si="50"/>
        <v>0.5</v>
      </c>
      <c r="O285" s="180">
        <f t="shared" si="51"/>
        <v>0.5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2.2 Em especificação</v>
      </c>
      <c r="H286" s="64">
        <f>VLOOKUP(A286,'Aux - pivots1'!$A:$B,2,0)</f>
        <v>3</v>
      </c>
      <c r="I286" s="186">
        <f>SUMIFS(Table1[Estimação (horas)],Table1[Tabela],Plano_V3!E286,Table1[Campo],Plano_V3!F286)</f>
        <v>0.6</v>
      </c>
      <c r="J286" s="186">
        <f>I286/8</f>
        <v>7.4999999999999997E-2</v>
      </c>
      <c r="K286" s="186">
        <f>SUMIFS(Table1[Horas efetivas],Table1[Tabela],Plano_V3!E286,Table1[Campo],Plano_V3!F286)</f>
        <v>0.3</v>
      </c>
      <c r="L286" s="186">
        <f>K286/8</f>
        <v>3.7499999999999999E-2</v>
      </c>
      <c r="M286" s="180"/>
      <c r="N286" s="180">
        <f>L286/J286</f>
        <v>0.5</v>
      </c>
      <c r="O286" s="180">
        <f t="shared" si="45"/>
        <v>0.5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 xml:space="preserve">6. Em implementação </v>
      </c>
      <c r="H375" s="64">
        <f>VLOOKUP(A375,'Aux - pivots1'!$A:$B,2,0)</f>
        <v>7</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 xml:space="preserve">6. Em implementação </v>
      </c>
      <c r="H376" s="64">
        <f>VLOOKUP(A376,'Aux - pivots1'!$A:$B,2,0)</f>
        <v>7</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 xml:space="preserve">6. Em implementação </v>
      </c>
      <c r="H377" s="64">
        <f>VLOOKUP(A377,'Aux - pivots1'!$A:$B,2,0)</f>
        <v>7</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 xml:space="preserve">6. Em implementação </v>
      </c>
      <c r="H378" s="64">
        <f>VLOOKUP(A378,'Aux - pivots1'!$A:$B,2,0)</f>
        <v>7</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 xml:space="preserve">6. Em implementação </v>
      </c>
      <c r="H379" s="64">
        <f>VLOOKUP(A379,'Aux - pivots1'!$A:$B,2,0)</f>
        <v>7</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6">
        <f>SUMIFS(Table1[Estimação (horas)],Table1[Tabela],Plano_V3!E452,Table1[Campo],Plano_V3!F452)</f>
        <v>16.100000000000001</v>
      </c>
      <c r="J452" s="186">
        <f t="shared" si="75"/>
        <v>2.0125000000000002</v>
      </c>
      <c r="K452" s="186">
        <f>SUMIFS(Table1[Horas efetivas],Table1[Tabela],Plano_V3!E452,Table1[Campo],Plano_V3!F452)</f>
        <v>4.0250000000000004</v>
      </c>
      <c r="L452" s="186">
        <f t="shared" si="76"/>
        <v>0.50312500000000004</v>
      </c>
      <c r="M452" s="180"/>
      <c r="N452" s="180">
        <f t="shared" si="77"/>
        <v>0.25</v>
      </c>
      <c r="O452" s="180">
        <f t="shared" si="61"/>
        <v>0.25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6">
        <f>SUMIFS(Table1[Estimação (horas)],Table1[Tabela],Plano_V3!E453,Table1[Campo],Plano_V3!F453)</f>
        <v>16.100000000000001</v>
      </c>
      <c r="J453" s="186">
        <f t="shared" si="75"/>
        <v>2.0125000000000002</v>
      </c>
      <c r="K453" s="186">
        <f>SUMIFS(Table1[Horas efetivas],Table1[Tabela],Plano_V3!E453,Table1[Campo],Plano_V3!F453)</f>
        <v>4.0250000000000004</v>
      </c>
      <c r="L453" s="186">
        <f t="shared" si="76"/>
        <v>0.50312500000000004</v>
      </c>
      <c r="M453" s="180"/>
      <c r="N453" s="180">
        <f t="shared" si="77"/>
        <v>0.25</v>
      </c>
      <c r="O453" s="180">
        <f t="shared" si="61"/>
        <v>0.25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6">
        <f>SUMIFS(Table1[Estimação (horas)],Table1[Tabela],Plano_V3!E454,Table1[Campo],Plano_V3!F454)</f>
        <v>4.0999999999999996</v>
      </c>
      <c r="J454" s="186">
        <f t="shared" si="75"/>
        <v>0.51249999999999996</v>
      </c>
      <c r="K454" s="186">
        <f>SUMIFS(Table1[Horas efetivas],Table1[Tabela],Plano_V3!E454,Table1[Campo],Plano_V3!F454)</f>
        <v>1.0249999999999999</v>
      </c>
      <c r="L454" s="186">
        <f t="shared" si="76"/>
        <v>0.12812499999999999</v>
      </c>
      <c r="M454" s="180"/>
      <c r="N454" s="180">
        <f t="shared" si="77"/>
        <v>0.25</v>
      </c>
      <c r="O454" s="180">
        <f t="shared" si="61"/>
        <v>0.25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6">
        <f>SUMIFS(Table1[Estimação (horas)],Table1[Tabela],Plano_V3!E455,Table1[Campo],Plano_V3!F455)</f>
        <v>4.0999999999999996</v>
      </c>
      <c r="J455" s="186">
        <f t="shared" si="75"/>
        <v>0.51249999999999996</v>
      </c>
      <c r="K455" s="186">
        <f>SUMIFS(Table1[Horas efetivas],Table1[Tabela],Plano_V3!E455,Table1[Campo],Plano_V3!F455)</f>
        <v>1.0249999999999999</v>
      </c>
      <c r="L455" s="186">
        <f t="shared" si="76"/>
        <v>0.12812499999999999</v>
      </c>
      <c r="M455" s="180"/>
      <c r="N455" s="180">
        <f t="shared" si="77"/>
        <v>0.25</v>
      </c>
      <c r="O455" s="180">
        <f t="shared" si="61"/>
        <v>0.25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2.1 Em Teste</v>
      </c>
      <c r="H481" s="64">
        <f>VLOOKUP(A481,'Aux - pivots1'!$A:$B,2,0)</f>
        <v>2</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2.1 Em Teste</v>
      </c>
      <c r="H482" s="64">
        <f>VLOOKUP(A482,'Aux - pivots1'!$A:$B,2,0)</f>
        <v>2</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2.1 Em Teste</v>
      </c>
      <c r="H483" s="64">
        <f>VLOOKUP(A483,'Aux - pivots1'!$A:$B,2,0)</f>
        <v>2</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2.1 Em Teste</v>
      </c>
      <c r="H484" s="64">
        <f>VLOOKUP(A484,'Aux - pivots1'!$A:$B,2,0)</f>
        <v>2</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2.1 Em Teste</v>
      </c>
      <c r="H485" s="64">
        <f>VLOOKUP(A485,'Aux - pivots1'!$A:$B,2,0)</f>
        <v>2</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2.1 Em Teste</v>
      </c>
      <c r="H486" s="64">
        <f>VLOOKUP(A486,'Aux - pivots1'!$A:$B,2,0)</f>
        <v>2</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2.1 Em Teste</v>
      </c>
      <c r="H487" s="64">
        <f>VLOOKUP(A487,'Aux - pivots1'!$A:$B,2,0)</f>
        <v>2</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2.1 Em Teste</v>
      </c>
      <c r="H488" s="64">
        <f>VLOOKUP(A488,'Aux - pivots1'!$A:$B,2,0)</f>
        <v>2</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2.1 Em Teste</v>
      </c>
      <c r="H489" s="64">
        <f>VLOOKUP(A489,'Aux - pivots1'!$A:$B,2,0)</f>
        <v>2</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2.1 Em Teste</v>
      </c>
      <c r="H490" s="64">
        <f>VLOOKUP(A490,'Aux - pivots1'!$A:$B,2,0)</f>
        <v>2</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2.1 Em Teste</v>
      </c>
      <c r="H491" s="64">
        <f>VLOOKUP(A491,'Aux - pivots1'!$A:$B,2,0)</f>
        <v>2</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2.1 Em Teste</v>
      </c>
      <c r="H492" s="64">
        <f>VLOOKUP(A492,'Aux - pivots1'!$A:$B,2,0)</f>
        <v>2</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2.1 Em Teste</v>
      </c>
      <c r="H493" s="64">
        <f>VLOOKUP(A493,'Aux - pivots1'!$A:$B,2,0)</f>
        <v>2</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2.1 Em Teste</v>
      </c>
      <c r="H494" s="64">
        <f>VLOOKUP(A494,'Aux - pivots1'!$A:$B,2,0)</f>
        <v>2</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2.1 Em Teste</v>
      </c>
      <c r="H495" s="64">
        <f>VLOOKUP(A495,'Aux - pivots1'!$A:$B,2,0)</f>
        <v>2</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2.1 Em Teste</v>
      </c>
      <c r="H496" s="64">
        <f>VLOOKUP(A496,'Aux - pivots1'!$A:$B,2,0)</f>
        <v>2</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2.1 Em Teste</v>
      </c>
      <c r="H497" s="64">
        <f>VLOOKUP(A497,'Aux - pivots1'!$A:$B,2,0)</f>
        <v>2</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2.1 Em Teste</v>
      </c>
      <c r="H498" s="64">
        <f>VLOOKUP(A498,'Aux - pivots1'!$A:$B,2,0)</f>
        <v>2</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2.1 Em Teste</v>
      </c>
      <c r="H499" s="64">
        <f>VLOOKUP(A499,'Aux - pivots1'!$A:$B,2,0)</f>
        <v>2</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2.1 Em Teste</v>
      </c>
      <c r="H500" s="64">
        <f>VLOOKUP(A500,'Aux - pivots1'!$A:$B,2,0)</f>
        <v>2</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6">
        <f>SUMIFS(Table1[Estimação (horas)],Table1[Tabela],Plano_V3!E504,Table1[Campo],Plano_V3!F504)</f>
        <v>16.100000000000001</v>
      </c>
      <c r="J504" s="186">
        <f t="shared" si="75"/>
        <v>2.0125000000000002</v>
      </c>
      <c r="K504" s="186">
        <f>SUMIFS(Table1[Horas efetivas],Table1[Tabela],Plano_V3!E504,Table1[Campo],Plano_V3!F504)</f>
        <v>4.0250000000000004</v>
      </c>
      <c r="L504" s="186">
        <f t="shared" si="76"/>
        <v>0.50312500000000004</v>
      </c>
      <c r="M504" s="180"/>
      <c r="N504" s="180">
        <f t="shared" si="77"/>
        <v>0.25</v>
      </c>
      <c r="O504" s="180">
        <f t="shared" ref="O504:O552" si="83">N504-M504</f>
        <v>0.25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6">
        <f>SUMIFS(Table1[Estimação (horas)],Table1[Tabela],Plano_V3!E505,Table1[Campo],Plano_V3!F505)</f>
        <v>16.100000000000001</v>
      </c>
      <c r="J505" s="186">
        <f t="shared" si="75"/>
        <v>2.0125000000000002</v>
      </c>
      <c r="K505" s="186">
        <f>SUMIFS(Table1[Horas efetivas],Table1[Tabela],Plano_V3!E505,Table1[Campo],Plano_V3!F505)</f>
        <v>4.0250000000000004</v>
      </c>
      <c r="L505" s="186">
        <f t="shared" si="76"/>
        <v>0.50312500000000004</v>
      </c>
      <c r="M505" s="180"/>
      <c r="N505" s="180">
        <f t="shared" si="77"/>
        <v>0.25</v>
      </c>
      <c r="O505" s="180">
        <f t="shared" si="83"/>
        <v>0.25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6">
        <f>SUMIFS(Table1[Estimação (horas)],Table1[Tabela],Plano_V3!E509,Table1[Campo],Plano_V3!F509)</f>
        <v>4.0999999999999996</v>
      </c>
      <c r="J509" s="186">
        <f t="shared" si="75"/>
        <v>0.51249999999999996</v>
      </c>
      <c r="K509" s="186">
        <f>SUMIFS(Table1[Horas efetivas],Table1[Tabela],Plano_V3!E509,Table1[Campo],Plano_V3!F509)</f>
        <v>1.0249999999999999</v>
      </c>
      <c r="L509" s="186">
        <f t="shared" si="76"/>
        <v>0.12812499999999999</v>
      </c>
      <c r="M509" s="180"/>
      <c r="N509" s="180">
        <f t="shared" si="77"/>
        <v>0.25</v>
      </c>
      <c r="O509" s="180">
        <f t="shared" si="83"/>
        <v>0.25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6">
        <f>SUMIFS(Table1[Estimação (horas)],Table1[Tabela],Plano_V3!E510,Table1[Campo],Plano_V3!F510)</f>
        <v>4.0999999999999996</v>
      </c>
      <c r="J510" s="186">
        <f t="shared" si="75"/>
        <v>0.51249999999999996</v>
      </c>
      <c r="K510" s="186">
        <f>SUMIFS(Table1[Horas efetivas],Table1[Tabela],Plano_V3!E510,Table1[Campo],Plano_V3!F510)</f>
        <v>1.0249999999999999</v>
      </c>
      <c r="L510" s="186">
        <f t="shared" si="76"/>
        <v>0.12812499999999999</v>
      </c>
      <c r="M510" s="180"/>
      <c r="N510" s="180">
        <f t="shared" si="77"/>
        <v>0.25</v>
      </c>
      <c r="O510" s="180">
        <f t="shared" si="83"/>
        <v>0.25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6">
        <f>SUMIFS(Table1[Estimação (horas)],Table1[Tabela],Plano_V3!E511,Table1[Campo],Plano_V3!F511)</f>
        <v>4.0999999999999996</v>
      </c>
      <c r="J511" s="186">
        <f t="shared" si="75"/>
        <v>0.51249999999999996</v>
      </c>
      <c r="K511" s="186">
        <f>SUMIFS(Table1[Horas efetivas],Table1[Tabela],Plano_V3!E511,Table1[Campo],Plano_V3!F511)</f>
        <v>2.0499999999999998</v>
      </c>
      <c r="L511" s="186">
        <f t="shared" si="76"/>
        <v>0.25624999999999998</v>
      </c>
      <c r="M511" s="180"/>
      <c r="N511" s="180">
        <f t="shared" si="77"/>
        <v>0.5</v>
      </c>
      <c r="O511" s="180">
        <f t="shared" si="83"/>
        <v>0.5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6">
        <f>SUMIFS(Table1[Estimação (horas)],Table1[Tabela],Plano_V3!E512,Table1[Campo],Plano_V3!F512)</f>
        <v>4.0999999999999996</v>
      </c>
      <c r="J512" s="186">
        <f t="shared" si="75"/>
        <v>0.51249999999999996</v>
      </c>
      <c r="K512" s="186">
        <f>SUMIFS(Table1[Horas efetivas],Table1[Tabela],Plano_V3!E512,Table1[Campo],Plano_V3!F512)</f>
        <v>2.0499999999999998</v>
      </c>
      <c r="L512" s="186">
        <f t="shared" si="76"/>
        <v>0.25624999999999998</v>
      </c>
      <c r="M512" s="180"/>
      <c r="N512" s="180">
        <f t="shared" si="77"/>
        <v>0.5</v>
      </c>
      <c r="O512" s="180">
        <f t="shared" si="83"/>
        <v>0.5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6">
        <f>SUMIFS(Table1[Estimação (horas)],Table1[Tabela],Plano_V3!E513,Table1[Campo],Plano_V3!F513)</f>
        <v>4.0999999999999996</v>
      </c>
      <c r="J513" s="186">
        <f t="shared" si="75"/>
        <v>0.51249999999999996</v>
      </c>
      <c r="K513" s="186">
        <f>SUMIFS(Table1[Horas efetivas],Table1[Tabela],Plano_V3!E513,Table1[Campo],Plano_V3!F513)</f>
        <v>2.0499999999999998</v>
      </c>
      <c r="L513" s="186">
        <f t="shared" si="76"/>
        <v>0.25624999999999998</v>
      </c>
      <c r="M513" s="180"/>
      <c r="N513" s="180">
        <f t="shared" si="77"/>
        <v>0.5</v>
      </c>
      <c r="O513" s="180">
        <f t="shared" si="83"/>
        <v>0.5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6">
        <f>SUMIFS(Table1[Estimação (horas)],Table1[Tabela],Plano_V3!E515,Table1[Campo],Plano_V3!F515)</f>
        <v>8.1</v>
      </c>
      <c r="J515" s="186">
        <f t="shared" si="75"/>
        <v>1.0125</v>
      </c>
      <c r="K515" s="186">
        <f>SUMIFS(Table1[Horas efetivas],Table1[Tabela],Plano_V3!E515,Table1[Campo],Plano_V3!F515)</f>
        <v>4.05</v>
      </c>
      <c r="L515" s="186">
        <f t="shared" si="76"/>
        <v>0.50624999999999998</v>
      </c>
      <c r="M515" s="180"/>
      <c r="N515" s="180">
        <f t="shared" si="77"/>
        <v>0.5</v>
      </c>
      <c r="O515" s="180">
        <f t="shared" si="83"/>
        <v>0.5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6">
        <f>SUMIFS(Table1[Estimação (horas)],Table1[Tabela],Plano_V3!E516,Table1[Campo],Plano_V3!F516)</f>
        <v>8.1</v>
      </c>
      <c r="J516" s="186">
        <f t="shared" si="75"/>
        <v>1.0125</v>
      </c>
      <c r="K516" s="186">
        <f>SUMIFS(Table1[Horas efetivas],Table1[Tabela],Plano_V3!E516,Table1[Campo],Plano_V3!F516)</f>
        <v>4.05</v>
      </c>
      <c r="L516" s="186">
        <f t="shared" si="76"/>
        <v>0.50624999999999998</v>
      </c>
      <c r="M516" s="180"/>
      <c r="N516" s="180">
        <f t="shared" si="77"/>
        <v>0.5</v>
      </c>
      <c r="O516" s="180">
        <f t="shared" si="83"/>
        <v>0.5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6">
        <f>SUMIFS(Table1[Estimação (horas)],Table1[Tabela],Plano_V3!E517,Table1[Campo],Plano_V3!F517)</f>
        <v>8.1</v>
      </c>
      <c r="J517" s="186">
        <f t="shared" si="75"/>
        <v>1.0125</v>
      </c>
      <c r="K517" s="186">
        <f>SUMIFS(Table1[Horas efetivas],Table1[Tabela],Plano_V3!E517,Table1[Campo],Plano_V3!F517)</f>
        <v>4.05</v>
      </c>
      <c r="L517" s="186">
        <f t="shared" si="76"/>
        <v>0.50624999999999998</v>
      </c>
      <c r="M517" s="180"/>
      <c r="N517" s="180">
        <f t="shared" si="77"/>
        <v>0.5</v>
      </c>
      <c r="O517" s="180">
        <f t="shared" si="83"/>
        <v>0.5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2.2 Em especificação</v>
      </c>
      <c r="H535" s="64">
        <f>VLOOKUP(A535,'Aux - pivots1'!$A:$B,2,0)</f>
        <v>3</v>
      </c>
      <c r="I535" s="186">
        <f>SUMIFS(Table1[Estimação (horas)],Table1[Tabela],Plano_V3!E535,Table1[Campo],Plano_V3!F535)</f>
        <v>8</v>
      </c>
      <c r="J535" s="186">
        <f t="shared" si="86"/>
        <v>1</v>
      </c>
      <c r="K535" s="186">
        <f>SUMIFS(Table1[Horas efetivas],Table1[Tabela],Plano_V3!E535,Table1[Campo],Plano_V3!F535)</f>
        <v>4</v>
      </c>
      <c r="L535" s="186">
        <f t="shared" si="87"/>
        <v>0.5</v>
      </c>
      <c r="M535" s="180"/>
      <c r="N535" s="180">
        <f t="shared" si="88"/>
        <v>0.5</v>
      </c>
      <c r="O535" s="180">
        <f t="shared" si="83"/>
        <v>0.5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2.2 Em especificação</v>
      </c>
      <c r="H536" s="64">
        <f>VLOOKUP(A536,'Aux - pivots1'!$A:$B,2,0)</f>
        <v>3</v>
      </c>
      <c r="I536" s="186">
        <f>SUMIFS(Table1[Estimação (horas)],Table1[Tabela],Plano_V3!E536,Table1[Campo],Plano_V3!F536)</f>
        <v>4.0999999999999996</v>
      </c>
      <c r="J536" s="186">
        <f t="shared" si="86"/>
        <v>0.51249999999999996</v>
      </c>
      <c r="K536" s="186">
        <f>SUMIFS(Table1[Horas efetivas],Table1[Tabela],Plano_V3!E536,Table1[Campo],Plano_V3!F536)</f>
        <v>2.0499999999999998</v>
      </c>
      <c r="L536" s="186">
        <f t="shared" si="87"/>
        <v>0.25624999999999998</v>
      </c>
      <c r="M536" s="180"/>
      <c r="N536" s="180">
        <f t="shared" si="88"/>
        <v>0.5</v>
      </c>
      <c r="O536" s="180">
        <f t="shared" si="83"/>
        <v>0.5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2.2 Em especificação</v>
      </c>
      <c r="H537" s="64">
        <f>VLOOKUP(A537,'Aux - pivots1'!$A:$B,2,0)</f>
        <v>3</v>
      </c>
      <c r="I537" s="186">
        <f>SUMIFS(Table1[Estimação (horas)],Table1[Tabela],Plano_V3!E537,Table1[Campo],Plano_V3!F537)</f>
        <v>4.0999999999999996</v>
      </c>
      <c r="J537" s="186">
        <f t="shared" si="86"/>
        <v>0.51249999999999996</v>
      </c>
      <c r="K537" s="186">
        <f>SUMIFS(Table1[Horas efetivas],Table1[Tabela],Plano_V3!E537,Table1[Campo],Plano_V3!F537)</f>
        <v>2.0499999999999998</v>
      </c>
      <c r="L537" s="186">
        <f t="shared" si="87"/>
        <v>0.25624999999999998</v>
      </c>
      <c r="M537" s="180"/>
      <c r="N537" s="180">
        <f t="shared" si="88"/>
        <v>0.5</v>
      </c>
      <c r="O537" s="180">
        <f t="shared" si="83"/>
        <v>0.5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2.2 Em especificação</v>
      </c>
      <c r="H538" s="64">
        <f>VLOOKUP(A538,'Aux - pivots1'!$A:$B,2,0)</f>
        <v>3</v>
      </c>
      <c r="I538" s="186">
        <f>SUMIFS(Table1[Estimação (horas)],Table1[Tabela],Plano_V3!E538,Table1[Campo],Plano_V3!F538)</f>
        <v>4.0999999999999996</v>
      </c>
      <c r="J538" s="186">
        <f t="shared" si="86"/>
        <v>0.51249999999999996</v>
      </c>
      <c r="K538" s="186">
        <f>SUMIFS(Table1[Horas efetivas],Table1[Tabela],Plano_V3!E538,Table1[Campo],Plano_V3!F538)</f>
        <v>2.0499999999999998</v>
      </c>
      <c r="L538" s="186">
        <f t="shared" si="87"/>
        <v>0.25624999999999998</v>
      </c>
      <c r="M538" s="180"/>
      <c r="N538" s="180">
        <f t="shared" si="88"/>
        <v>0.5</v>
      </c>
      <c r="O538" s="180">
        <f t="shared" si="83"/>
        <v>0.5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2.2 Em especificação</v>
      </c>
      <c r="H539" s="64">
        <f>VLOOKUP(A539,'Aux - pivots1'!$A:$B,2,0)</f>
        <v>3</v>
      </c>
      <c r="I539" s="186">
        <f>SUMIFS(Table1[Estimação (horas)],Table1[Tabela],Plano_V3!E539,Table1[Campo],Plano_V3!F539)</f>
        <v>4.0999999999999996</v>
      </c>
      <c r="J539" s="186">
        <f t="shared" si="86"/>
        <v>0.51249999999999996</v>
      </c>
      <c r="K539" s="186">
        <f>SUMIFS(Table1[Horas efetivas],Table1[Tabela],Plano_V3!E539,Table1[Campo],Plano_V3!F539)</f>
        <v>2.0499999999999998</v>
      </c>
      <c r="L539" s="186">
        <f t="shared" si="87"/>
        <v>0.25624999999999998</v>
      </c>
      <c r="M539" s="180"/>
      <c r="N539" s="180">
        <f t="shared" si="88"/>
        <v>0.5</v>
      </c>
      <c r="O539" s="180">
        <f t="shared" si="83"/>
        <v>0.5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2.2 Em especificação</v>
      </c>
      <c r="H541" s="64">
        <f>VLOOKUP(A541,'Aux - pivots1'!$A:$B,2,0)</f>
        <v>3</v>
      </c>
      <c r="I541" s="186">
        <f>SUMIFS(Table1[Estimação (horas)],Table1[Tabela],Plano_V3!E541,Table1[Campo],Plano_V3!F541)</f>
        <v>16.100000000000001</v>
      </c>
      <c r="J541" s="186">
        <f t="shared" si="86"/>
        <v>2.0125000000000002</v>
      </c>
      <c r="K541" s="186">
        <f>SUMIFS(Table1[Horas efetivas],Table1[Tabela],Plano_V3!E541,Table1[Campo],Plano_V3!F541)</f>
        <v>8.0500000000000007</v>
      </c>
      <c r="L541" s="186">
        <f t="shared" si="87"/>
        <v>1.0062500000000001</v>
      </c>
      <c r="M541" s="180"/>
      <c r="N541" s="180">
        <f t="shared" si="88"/>
        <v>0.5</v>
      </c>
      <c r="O541" s="180">
        <f t="shared" si="83"/>
        <v>0.5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2.2 Em especificação</v>
      </c>
      <c r="H542" s="64">
        <f>VLOOKUP(A542,'Aux - pivots1'!$A:$B,2,0)</f>
        <v>3</v>
      </c>
      <c r="I542" s="186">
        <f>SUMIFS(Table1[Estimação (horas)],Table1[Tabela],Plano_V3!E542,Table1[Campo],Plano_V3!F542)</f>
        <v>16.100000000000001</v>
      </c>
      <c r="J542" s="186">
        <f t="shared" si="86"/>
        <v>2.0125000000000002</v>
      </c>
      <c r="K542" s="186">
        <f>SUMIFS(Table1[Horas efetivas],Table1[Tabela],Plano_V3!E542,Table1[Campo],Plano_V3!F542)</f>
        <v>8.0500000000000007</v>
      </c>
      <c r="L542" s="186">
        <f t="shared" si="87"/>
        <v>1.0062500000000001</v>
      </c>
      <c r="M542" s="180"/>
      <c r="N542" s="180">
        <f t="shared" si="88"/>
        <v>0.5</v>
      </c>
      <c r="O542" s="180">
        <f t="shared" si="83"/>
        <v>0.5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2.2 Em especificação</v>
      </c>
      <c r="H543" s="64">
        <f>VLOOKUP(A543,'Aux - pivots1'!$A:$B,2,0)</f>
        <v>3</v>
      </c>
      <c r="I543" s="186">
        <f>SUMIFS(Table1[Estimação (horas)],Table1[Tabela],Plano_V3!E543,Table1[Campo],Plano_V3!F543)</f>
        <v>8.1</v>
      </c>
      <c r="J543" s="186">
        <f t="shared" si="86"/>
        <v>1.0125</v>
      </c>
      <c r="K543" s="186">
        <f>SUMIFS(Table1[Horas efetivas],Table1[Tabela],Plano_V3!E543,Table1[Campo],Plano_V3!F543)</f>
        <v>4.05</v>
      </c>
      <c r="L543" s="186">
        <f t="shared" si="87"/>
        <v>0.50624999999999998</v>
      </c>
      <c r="M543" s="180"/>
      <c r="N543" s="180">
        <f t="shared" si="88"/>
        <v>0.5</v>
      </c>
      <c r="O543" s="180">
        <f t="shared" si="83"/>
        <v>0.5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2.2 Em especificação</v>
      </c>
      <c r="H544" s="64">
        <f>VLOOKUP(A544,'Aux - pivots1'!$A:$B,2,0)</f>
        <v>3</v>
      </c>
      <c r="I544" s="186">
        <f>SUMIFS(Table1[Estimação (horas)],Table1[Tabela],Plano_V3!E544,Table1[Campo],Plano_V3!F544)</f>
        <v>8.1</v>
      </c>
      <c r="J544" s="186">
        <f>I544/8</f>
        <v>1.0125</v>
      </c>
      <c r="K544" s="186">
        <f>SUMIFS(Table1[Horas efetivas],Table1[Tabela],Plano_V3!E544,Table1[Campo],Plano_V3!F544)</f>
        <v>4.05</v>
      </c>
      <c r="L544" s="186">
        <f>K544/8</f>
        <v>0.50624999999999998</v>
      </c>
      <c r="M544" s="180"/>
      <c r="N544" s="180">
        <f>L544/J544</f>
        <v>0.5</v>
      </c>
      <c r="O544" s="180">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2.2 Em especificação</v>
      </c>
      <c r="H545" s="64">
        <f>VLOOKUP(A545,'Aux - pivots1'!$A:$B,2,0)</f>
        <v>3</v>
      </c>
      <c r="I545" s="186">
        <f>SUMIFS(Table1[Estimação (horas)],Table1[Tabela],Plano_V3!E545,Table1[Campo],Plano_V3!F545)</f>
        <v>8.1</v>
      </c>
      <c r="J545" s="186">
        <f t="shared" si="86"/>
        <v>1.0125</v>
      </c>
      <c r="K545" s="186">
        <f>SUMIFS(Table1[Horas efetivas],Table1[Tabela],Plano_V3!E545,Table1[Campo],Plano_V3!F545)</f>
        <v>4.05</v>
      </c>
      <c r="L545" s="186">
        <f t="shared" si="87"/>
        <v>0.50624999999999998</v>
      </c>
      <c r="M545" s="180"/>
      <c r="N545" s="180">
        <f t="shared" si="88"/>
        <v>0.5</v>
      </c>
      <c r="O545" s="180">
        <f t="shared" si="83"/>
        <v>0.5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2.2 Em especificação</v>
      </c>
      <c r="H546" s="64">
        <f>VLOOKUP(A546,'Aux - pivots1'!$A:$B,2,0)</f>
        <v>3</v>
      </c>
      <c r="I546" s="186">
        <f>SUMIFS(Table1[Estimação (horas)],Table1[Tabela],Plano_V3!E546,Table1[Campo],Plano_V3!F546)</f>
        <v>8.1</v>
      </c>
      <c r="J546" s="186">
        <f t="shared" si="86"/>
        <v>1.0125</v>
      </c>
      <c r="K546" s="186">
        <f>SUMIFS(Table1[Horas efetivas],Table1[Tabela],Plano_V3!E546,Table1[Campo],Plano_V3!F546)</f>
        <v>4.05</v>
      </c>
      <c r="L546" s="186">
        <f t="shared" si="87"/>
        <v>0.50624999999999998</v>
      </c>
      <c r="M546" s="180"/>
      <c r="N546" s="180">
        <f t="shared" si="88"/>
        <v>0.5</v>
      </c>
      <c r="O546" s="180">
        <f t="shared" si="83"/>
        <v>0.5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2.2 Em especificação</v>
      </c>
      <c r="H547" s="64">
        <f>VLOOKUP(A547,'Aux - pivots1'!$A:$B,2,0)</f>
        <v>3</v>
      </c>
      <c r="I547" s="186">
        <f>SUMIFS(Table1[Estimação (horas)],Table1[Tabela],Plano_V3!E547,Table1[Campo],Plano_V3!F547)</f>
        <v>8.1</v>
      </c>
      <c r="J547" s="186">
        <f t="shared" si="86"/>
        <v>1.0125</v>
      </c>
      <c r="K547" s="186">
        <f>SUMIFS(Table1[Horas efetivas],Table1[Tabela],Plano_V3!E547,Table1[Campo],Plano_V3!F547)</f>
        <v>4.05</v>
      </c>
      <c r="L547" s="186">
        <f t="shared" si="87"/>
        <v>0.50624999999999998</v>
      </c>
      <c r="M547" s="180"/>
      <c r="N547" s="180">
        <f t="shared" si="88"/>
        <v>0.5</v>
      </c>
      <c r="O547" s="180">
        <f t="shared" si="83"/>
        <v>0.5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2.2 Em especificação</v>
      </c>
      <c r="H549" s="64">
        <f>VLOOKUP(A549,'Aux - pivots1'!$A:$B,2,0)</f>
        <v>3</v>
      </c>
      <c r="I549" s="186">
        <f>SUMIFS(Table1[Estimação (horas)],Table1[Tabela],Plano_V3!E549,Table1[Campo],Plano_V3!F549)</f>
        <v>4.0999999999999996</v>
      </c>
      <c r="J549" s="186">
        <f t="shared" si="86"/>
        <v>0.51249999999999996</v>
      </c>
      <c r="K549" s="186">
        <f>SUMIFS(Table1[Horas efetivas],Table1[Tabela],Plano_V3!E549,Table1[Campo],Plano_V3!F549)</f>
        <v>2.0499999999999998</v>
      </c>
      <c r="L549" s="186">
        <f t="shared" si="87"/>
        <v>0.25624999999999998</v>
      </c>
      <c r="M549" s="180"/>
      <c r="N549" s="180">
        <f t="shared" si="88"/>
        <v>0.5</v>
      </c>
      <c r="O549" s="180">
        <f t="shared" si="83"/>
        <v>0.5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2.2 Em especificação</v>
      </c>
      <c r="H550" s="64">
        <f>VLOOKUP(A550,'Aux - pivots1'!$A:$B,2,0)</f>
        <v>3</v>
      </c>
      <c r="I550" s="186">
        <f>SUMIFS(Table1[Estimação (horas)],Table1[Tabela],Plano_V3!E550,Table1[Campo],Plano_V3!F550)</f>
        <v>8.1</v>
      </c>
      <c r="J550" s="186">
        <f t="shared" si="86"/>
        <v>1.0125</v>
      </c>
      <c r="K550" s="186">
        <f>SUMIFS(Table1[Horas efetivas],Table1[Tabela],Plano_V3!E550,Table1[Campo],Plano_V3!F550)</f>
        <v>4.05</v>
      </c>
      <c r="L550" s="186">
        <f t="shared" si="87"/>
        <v>0.50624999999999998</v>
      </c>
      <c r="M550" s="180"/>
      <c r="N550" s="180">
        <f t="shared" si="88"/>
        <v>0.5</v>
      </c>
      <c r="O550" s="180">
        <f t="shared" si="83"/>
        <v>0.5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 xml:space="preserve">6. Em implementação </v>
      </c>
      <c r="H585" s="64">
        <f>VLOOKUP(A585,'Aux - pivots1'!$A:$B,2,0)</f>
        <v>7</v>
      </c>
      <c r="I585" s="178">
        <f>SUMIFS(Table1[Estimação (horas)],Table1[Tabela],Plano_V3!E585,Table1[Campo],Plano_V3!F585)</f>
        <v>1</v>
      </c>
      <c r="J585" s="178">
        <f t="shared" ref="J585:J608" si="94">I585/8</f>
        <v>0.125</v>
      </c>
      <c r="K585" s="178">
        <f>SUMIFS(Table1[Horas efetivas],Table1[Tabela],Plano_V3!E585,Table1[Campo],Plano_V3!F585)</f>
        <v>0.25</v>
      </c>
      <c r="L585" s="178">
        <f t="shared" ref="L585:L608" si="95">K585/8</f>
        <v>3.125E-2</v>
      </c>
      <c r="M585" s="180"/>
      <c r="N585" s="180">
        <f t="shared" ref="N585:N608" si="96">L585/J585</f>
        <v>0.25</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 xml:space="preserve">6. Em implementação </v>
      </c>
      <c r="H623" s="64">
        <f>VLOOKUP(A623,'Aux - pivots1'!$A:$B,2,0)</f>
        <v>7</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 xml:space="preserve">6. Em implementação </v>
      </c>
      <c r="H624" s="64">
        <f>VLOOKUP(A624,'Aux - pivots1'!$A:$B,2,0)</f>
        <v>7</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 xml:space="preserve">6. Em implementação </v>
      </c>
      <c r="H626" s="64">
        <f>VLOOKUP(A626,'Aux - pivots1'!$A:$B,2,0)</f>
        <v>7</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 xml:space="preserve">6. Em implementação </v>
      </c>
      <c r="H629" s="64">
        <f>VLOOKUP(A629,'Aux - pivots1'!$A:$B,2,0)</f>
        <v>7</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 xml:space="preserve">6. Em implementação </v>
      </c>
      <c r="H630" s="64">
        <f>VLOOKUP(A630,'Aux - pivots1'!$A:$B,2,0)</f>
        <v>7</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 xml:space="preserve">6. Em implementação </v>
      </c>
      <c r="H631" s="64">
        <f>VLOOKUP(A631,'Aux - pivots1'!$A:$B,2,0)</f>
        <v>7</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 xml:space="preserve">6. Em implementação </v>
      </c>
      <c r="H632" s="64">
        <f>VLOOKUP(A632,'Aux - pivots1'!$A:$B,2,0)</f>
        <v>7</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 xml:space="preserve">6. Em implementação </v>
      </c>
      <c r="H633" s="64">
        <f>VLOOKUP(A633,'Aux - pivots1'!$A:$B,2,0)</f>
        <v>7</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 xml:space="preserve">6. Em implementação </v>
      </c>
      <c r="H634" s="64">
        <f>VLOOKUP(A634,'Aux - pivots1'!$A:$B,2,0)</f>
        <v>7</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 xml:space="preserve">6. Em implementação </v>
      </c>
      <c r="H635" s="64">
        <f>VLOOKUP(A635,'Aux - pivots1'!$A:$B,2,0)</f>
        <v>7</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 xml:space="preserve">6. Em implementação </v>
      </c>
      <c r="H636" s="64">
        <f>VLOOKUP(A636,'Aux - pivots1'!$A:$B,2,0)</f>
        <v>7</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 xml:space="preserve">6. Em implementação </v>
      </c>
      <c r="H637" s="64">
        <f>VLOOKUP(A637,'Aux - pivots1'!$A:$B,2,0)</f>
        <v>7</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 xml:space="preserve">6. Em implementação </v>
      </c>
      <c r="H639" s="64">
        <f>VLOOKUP(A639,'Aux - pivots1'!$A:$B,2,0)</f>
        <v>7</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 xml:space="preserve">6. Em implementação </v>
      </c>
      <c r="H640" s="64">
        <f>VLOOKUP(A640,'Aux - pivots1'!$A:$B,2,0)</f>
        <v>7</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 xml:space="preserve">6. Em implementação </v>
      </c>
      <c r="H653" s="64">
        <f>VLOOKUP(A653,'Aux - pivots1'!$A:$B,2,0)</f>
        <v>7</v>
      </c>
      <c r="I653" s="178">
        <f>SUMIFS(Table1[Estimação (horas)],Table1[Tabela],Plano_V3!E653,Table1[Campo],Plano_V3!F653)</f>
        <v>2</v>
      </c>
      <c r="J653" s="178">
        <f t="shared" ref="J653:J668" si="108">I653/8</f>
        <v>0.25</v>
      </c>
      <c r="K653" s="178">
        <f>SUMIFS(Table1[Horas efetivas],Table1[Tabela],Plano_V3!E653,Table1[Campo],Plano_V3!F653)</f>
        <v>0.5</v>
      </c>
      <c r="L653" s="178">
        <f t="shared" ref="L653:L668" si="109">K653/8</f>
        <v>6.25E-2</v>
      </c>
      <c r="M653" s="180"/>
      <c r="N653" s="180">
        <f t="shared" ref="N653:N668" si="110">L653/J653</f>
        <v>0.25</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 xml:space="preserve">6. Em implementação </v>
      </c>
      <c r="H654" s="64">
        <f>VLOOKUP(A654,'Aux - pivots1'!$A:$B,2,0)</f>
        <v>7</v>
      </c>
      <c r="I654" s="178">
        <f>SUMIFS(Table1[Estimação (horas)],Table1[Tabela],Plano_V3!E654,Table1[Campo],Plano_V3!F654)</f>
        <v>2</v>
      </c>
      <c r="J654" s="178">
        <f t="shared" si="108"/>
        <v>0.25</v>
      </c>
      <c r="K654" s="178">
        <f>SUMIFS(Table1[Horas efetivas],Table1[Tabela],Plano_V3!E654,Table1[Campo],Plano_V3!F654)</f>
        <v>0.5</v>
      </c>
      <c r="L654" s="178">
        <f t="shared" si="109"/>
        <v>6.25E-2</v>
      </c>
      <c r="M654" s="180"/>
      <c r="N654" s="180">
        <f t="shared" si="110"/>
        <v>0.25</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 xml:space="preserve">6. Em implementação </v>
      </c>
      <c r="H655" s="64">
        <f>VLOOKUP(A655,'Aux - pivots1'!$A:$B,2,0)</f>
        <v>7</v>
      </c>
      <c r="I655" s="178">
        <f>SUMIFS(Table1[Estimação (horas)],Table1[Tabela],Plano_V3!E655,Table1[Campo],Plano_V3!F655)</f>
        <v>2</v>
      </c>
      <c r="J655" s="178">
        <f t="shared" si="108"/>
        <v>0.25</v>
      </c>
      <c r="K655" s="178">
        <f>SUMIFS(Table1[Horas efetivas],Table1[Tabela],Plano_V3!E655,Table1[Campo],Plano_V3!F655)</f>
        <v>0.5</v>
      </c>
      <c r="L655" s="178">
        <f t="shared" si="109"/>
        <v>6.25E-2</v>
      </c>
      <c r="M655" s="180"/>
      <c r="N655" s="180">
        <f t="shared" si="110"/>
        <v>0.25</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 xml:space="preserve">6. Em implementação </v>
      </c>
      <c r="H656" s="64">
        <f>VLOOKUP(A656,'Aux - pivots1'!$A:$B,2,0)</f>
        <v>7</v>
      </c>
      <c r="I656" s="178">
        <f>SUMIFS(Table1[Estimação (horas)],Table1[Tabela],Plano_V3!E656,Table1[Campo],Plano_V3!F656)</f>
        <v>2</v>
      </c>
      <c r="J656" s="178">
        <f t="shared" si="108"/>
        <v>0.25</v>
      </c>
      <c r="K656" s="178">
        <f>SUMIFS(Table1[Horas efetivas],Table1[Tabela],Plano_V3!E656,Table1[Campo],Plano_V3!F656)</f>
        <v>0.5</v>
      </c>
      <c r="L656" s="178">
        <f t="shared" si="109"/>
        <v>6.25E-2</v>
      </c>
      <c r="M656" s="180"/>
      <c r="N656" s="180">
        <f t="shared" si="110"/>
        <v>0.25</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 xml:space="preserve">6. Em implementação </v>
      </c>
      <c r="H658" s="64">
        <f>VLOOKUP(A658,'Aux - pivots1'!$A:$B,2,0)</f>
        <v>7</v>
      </c>
      <c r="I658" s="178">
        <f>SUMIFS(Table1[Estimação (horas)],Table1[Tabela],Plano_V3!E658,Table1[Campo],Plano_V3!F658)</f>
        <v>2</v>
      </c>
      <c r="J658" s="178">
        <f t="shared" si="108"/>
        <v>0.25</v>
      </c>
      <c r="K658" s="178">
        <f>SUMIFS(Table1[Horas efetivas],Table1[Tabela],Plano_V3!E658,Table1[Campo],Plano_V3!F658)</f>
        <v>0.5</v>
      </c>
      <c r="L658" s="178">
        <f t="shared" si="109"/>
        <v>6.25E-2</v>
      </c>
      <c r="M658" s="180"/>
      <c r="N658" s="180">
        <f t="shared" si="110"/>
        <v>0.25</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 xml:space="preserve">6. Em implementação </v>
      </c>
      <c r="H659" s="64">
        <f>VLOOKUP(A659,'Aux - pivots1'!$A:$B,2,0)</f>
        <v>7</v>
      </c>
      <c r="I659" s="178">
        <f>SUMIFS(Table1[Estimação (horas)],Table1[Tabela],Plano_V3!E659,Table1[Campo],Plano_V3!F659)</f>
        <v>2</v>
      </c>
      <c r="J659" s="178">
        <f t="shared" si="108"/>
        <v>0.25</v>
      </c>
      <c r="K659" s="178">
        <f>SUMIFS(Table1[Horas efetivas],Table1[Tabela],Plano_V3!E659,Table1[Campo],Plano_V3!F659)</f>
        <v>0.5</v>
      </c>
      <c r="L659" s="178">
        <f t="shared" si="109"/>
        <v>6.25E-2</v>
      </c>
      <c r="M659" s="180"/>
      <c r="N659" s="180">
        <f t="shared" si="110"/>
        <v>0.25</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 xml:space="preserve">6. Em implementação </v>
      </c>
      <c r="H660" s="64">
        <f>VLOOKUP(A660,'Aux - pivots1'!$A:$B,2,0)</f>
        <v>7</v>
      </c>
      <c r="I660" s="178">
        <f>SUMIFS(Table1[Estimação (horas)],Table1[Tabela],Plano_V3!E660,Table1[Campo],Plano_V3!F660)</f>
        <v>2</v>
      </c>
      <c r="J660" s="178">
        <f t="shared" si="108"/>
        <v>0.25</v>
      </c>
      <c r="K660" s="178">
        <f>SUMIFS(Table1[Horas efetivas],Table1[Tabela],Plano_V3!E660,Table1[Campo],Plano_V3!F660)</f>
        <v>0.5</v>
      </c>
      <c r="L660" s="178">
        <f t="shared" si="109"/>
        <v>6.25E-2</v>
      </c>
      <c r="M660" s="180"/>
      <c r="N660" s="180">
        <f t="shared" si="110"/>
        <v>0.25</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 xml:space="preserve">6. Em implementação </v>
      </c>
      <c r="H661" s="64">
        <f>VLOOKUP(A661,'Aux - pivots1'!$A:$B,2,0)</f>
        <v>7</v>
      </c>
      <c r="I661" s="178">
        <f>SUMIFS(Table1[Estimação (horas)],Table1[Tabela],Plano_V3!E661,Table1[Campo],Plano_V3!F661)</f>
        <v>2</v>
      </c>
      <c r="J661" s="178">
        <f t="shared" si="108"/>
        <v>0.25</v>
      </c>
      <c r="K661" s="178">
        <f>SUMIFS(Table1[Horas efetivas],Table1[Tabela],Plano_V3!E661,Table1[Campo],Plano_V3!F661)</f>
        <v>0.5</v>
      </c>
      <c r="L661" s="178">
        <f t="shared" si="109"/>
        <v>6.25E-2</v>
      </c>
      <c r="M661" s="180"/>
      <c r="N661" s="180">
        <f t="shared" si="110"/>
        <v>0.25</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 xml:space="preserve">6. Em implementação </v>
      </c>
      <c r="H662" s="64">
        <f>VLOOKUP(A662,'Aux - pivots1'!$A:$B,2,0)</f>
        <v>7</v>
      </c>
      <c r="I662" s="178">
        <f>SUMIFS(Table1[Estimação (horas)],Table1[Tabela],Plano_V3!E662,Table1[Campo],Plano_V3!F662)</f>
        <v>2</v>
      </c>
      <c r="J662" s="178">
        <f t="shared" si="108"/>
        <v>0.25</v>
      </c>
      <c r="K662" s="178">
        <f>SUMIFS(Table1[Horas efetivas],Table1[Tabela],Plano_V3!E662,Table1[Campo],Plano_V3!F662)</f>
        <v>0.5</v>
      </c>
      <c r="L662" s="178">
        <f t="shared" si="109"/>
        <v>6.25E-2</v>
      </c>
      <c r="M662" s="180"/>
      <c r="N662" s="180">
        <f t="shared" si="110"/>
        <v>0.25</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 xml:space="preserve">6. Em implementação </v>
      </c>
      <c r="H663" s="64">
        <f>VLOOKUP(A663,'Aux - pivots1'!$A:$B,2,0)</f>
        <v>7</v>
      </c>
      <c r="I663" s="178">
        <f>SUMIFS(Table1[Estimação (horas)],Table1[Tabela],Plano_V3!E663,Table1[Campo],Plano_V3!F663)</f>
        <v>2</v>
      </c>
      <c r="J663" s="178">
        <f t="shared" si="108"/>
        <v>0.25</v>
      </c>
      <c r="K663" s="178">
        <f>SUMIFS(Table1[Horas efetivas],Table1[Tabela],Plano_V3!E663,Table1[Campo],Plano_V3!F663)</f>
        <v>0.5</v>
      </c>
      <c r="L663" s="178">
        <f t="shared" si="109"/>
        <v>6.25E-2</v>
      </c>
      <c r="M663" s="180"/>
      <c r="N663" s="180">
        <f t="shared" si="110"/>
        <v>0.25</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 xml:space="preserve">6. Em implementação </v>
      </c>
      <c r="H664" s="64">
        <f>VLOOKUP(A664,'Aux - pivots1'!$A:$B,2,0)</f>
        <v>7</v>
      </c>
      <c r="I664" s="178">
        <f>SUMIFS(Table1[Estimação (horas)],Table1[Tabela],Plano_V3!E664,Table1[Campo],Plano_V3!F664)</f>
        <v>2</v>
      </c>
      <c r="J664" s="178">
        <f t="shared" si="108"/>
        <v>0.25</v>
      </c>
      <c r="K664" s="178">
        <f>SUMIFS(Table1[Horas efetivas],Table1[Tabela],Plano_V3!E664,Table1[Campo],Plano_V3!F664)</f>
        <v>0.5</v>
      </c>
      <c r="L664" s="178">
        <f t="shared" si="109"/>
        <v>6.25E-2</v>
      </c>
      <c r="M664" s="180"/>
      <c r="N664" s="180">
        <f t="shared" si="110"/>
        <v>0.25</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 xml:space="preserve">6. Em implementação </v>
      </c>
      <c r="H668" s="64">
        <f>VLOOKUP(A668,'Aux - pivots1'!$A:$B,2,0)</f>
        <v>7</v>
      </c>
      <c r="I668" s="178">
        <f>SUMIFS(Table1[Estimação (horas)],Table1[Tabela],Plano_V3!E668,Table1[Campo],Plano_V3!F668)</f>
        <v>2</v>
      </c>
      <c r="J668" s="178">
        <f t="shared" si="108"/>
        <v>0.25</v>
      </c>
      <c r="K668" s="178">
        <f>SUMIFS(Table1[Horas efetivas],Table1[Tabela],Plano_V3!E668,Table1[Campo],Plano_V3!F668)</f>
        <v>0.5</v>
      </c>
      <c r="L668" s="178">
        <f t="shared" si="109"/>
        <v>6.25E-2</v>
      </c>
      <c r="M668" s="180"/>
      <c r="N668" s="180">
        <f t="shared" si="110"/>
        <v>0.25</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 xml:space="preserve">6. Em implementação </v>
      </c>
      <c r="H715" s="64">
        <f>VLOOKUP(A715,'Aux - pivots1'!$A:$B,2,0)</f>
        <v>7</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 xml:space="preserve">6. Em implementação </v>
      </c>
      <c r="H719" s="64">
        <f>VLOOKUP(A719,'Aux - pivots1'!$A:$B,2,0)</f>
        <v>7</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 xml:space="preserve">6. Em implementação </v>
      </c>
      <c r="H720" s="64">
        <f>VLOOKUP(A720,'Aux - pivots1'!$A:$B,2,0)</f>
        <v>7</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8">
        <f>SUMIFS(Table1[Estimação (horas)],Table1[Tabela],Plano_V3!E752,Table1[Campo],Plano_V3!F752)</f>
        <v>0.1</v>
      </c>
      <c r="J752" s="178">
        <f t="shared" si="114"/>
        <v>1.2500000000000001E-2</v>
      </c>
      <c r="K752" s="178">
        <f>SUMIFS(Table1[Horas efetivas],Table1[Tabela],Plano_V3!E752,Table1[Campo],Plano_V3!F752)</f>
        <v>2.5000000000000001E-2</v>
      </c>
      <c r="L752" s="178">
        <f t="shared" si="115"/>
        <v>3.1250000000000002E-3</v>
      </c>
      <c r="M752" s="180"/>
      <c r="N752" s="180">
        <f t="shared" si="116"/>
        <v>0.25</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91" priority="68" operator="lessThan">
      <formula>0</formula>
    </cfRule>
    <cfRule type="cellIs" dxfId="90" priority="69" operator="greaterThanOrEqual">
      <formula>0</formula>
    </cfRule>
  </conditionalFormatting>
  <conditionalFormatting sqref="O24:O236 O499:O543 O238:O479 O755:O759 O545:O753">
    <cfRule type="cellIs" dxfId="89" priority="46" operator="lessThan">
      <formula>0</formula>
    </cfRule>
    <cfRule type="cellIs" dxfId="88" priority="47" operator="greaterThanOrEqual">
      <formula>0</formula>
    </cfRule>
  </conditionalFormatting>
  <conditionalFormatting sqref="Q15:Q17">
    <cfRule type="cellIs" dxfId="87" priority="95" operator="notEqual">
      <formula>0</formula>
    </cfRule>
  </conditionalFormatting>
  <conditionalFormatting sqref="Q20:Q22">
    <cfRule type="cellIs" dxfId="86" priority="87" operator="notEqual">
      <formula>0</formula>
    </cfRule>
  </conditionalFormatting>
  <conditionalFormatting sqref="Q25:Q479 Q545:Q552 Q499:Q543">
    <cfRule type="cellIs" dxfId="85" priority="50" operator="notEqual">
      <formula>0</formula>
    </cfRule>
  </conditionalFormatting>
  <conditionalFormatting sqref="R5:R6 S6:ES6">
    <cfRule type="cellIs" dxfId="84" priority="96" operator="notEqual">
      <formula>0</formula>
    </cfRule>
  </conditionalFormatting>
  <conditionalFormatting sqref="R15:ES17 R20:ES22 R25:ES25">
    <cfRule type="cellIs" dxfId="83" priority="94" operator="greaterThan">
      <formula>0</formula>
    </cfRule>
  </conditionalFormatting>
  <conditionalFormatting sqref="R74:ES74">
    <cfRule type="cellIs" dxfId="82" priority="92" operator="greaterThan">
      <formula>0</formula>
    </cfRule>
  </conditionalFormatting>
  <conditionalFormatting sqref="R239:ES239">
    <cfRule type="cellIs" dxfId="81" priority="91" operator="greaterThan">
      <formula>0</formula>
    </cfRule>
  </conditionalFormatting>
  <conditionalFormatting sqref="R446:ES446">
    <cfRule type="cellIs" dxfId="80" priority="90" operator="greaterThan">
      <formula>0</formula>
    </cfRule>
  </conditionalFormatting>
  <conditionalFormatting sqref="R552:ES552">
    <cfRule type="cellIs" dxfId="79" priority="89" operator="greaterThan">
      <formula>0</formula>
    </cfRule>
  </conditionalFormatting>
  <conditionalFormatting sqref="O237">
    <cfRule type="cellIs" dxfId="78" priority="44" operator="lessThan">
      <formula>0</formula>
    </cfRule>
    <cfRule type="cellIs" dxfId="77" priority="45" operator="greaterThanOrEqual">
      <formula>0</formula>
    </cfRule>
  </conditionalFormatting>
  <conditionalFormatting sqref="O544">
    <cfRule type="cellIs" dxfId="76" priority="20" operator="lessThan">
      <formula>0</formula>
    </cfRule>
    <cfRule type="cellIs" dxfId="75" priority="21" operator="greaterThanOrEqual">
      <formula>0</formula>
    </cfRule>
  </conditionalFormatting>
  <conditionalFormatting sqref="Q544">
    <cfRule type="cellIs" dxfId="74" priority="22" operator="notEqual">
      <formula>0</formula>
    </cfRule>
  </conditionalFormatting>
  <conditionalFormatting sqref="O480:O498">
    <cfRule type="cellIs" dxfId="73" priority="10" operator="lessThan">
      <formula>0</formula>
    </cfRule>
    <cfRule type="cellIs" dxfId="72" priority="11" operator="greaterThanOrEqual">
      <formula>0</formula>
    </cfRule>
  </conditionalFormatting>
  <conditionalFormatting sqref="Q480:Q498">
    <cfRule type="cellIs" dxfId="71" priority="12" operator="notEqual">
      <formula>0</formula>
    </cfRule>
  </conditionalFormatting>
  <conditionalFormatting sqref="O754">
    <cfRule type="cellIs" dxfId="70" priority="1" operator="lessThan">
      <formula>0</formula>
    </cfRule>
    <cfRule type="cellIs" dxfId="69"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9" priority="2" operator="greaterThan">
      <formula>0</formula>
    </cfRule>
  </conditionalFormatting>
  <conditionalFormatting sqref="G7:BB7">
    <cfRule type="cellIs" dxfId="18"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0B5A923C-8AD9-4520-91DF-ED249D6E5934}"/>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6ea7b29d-57ec-408d-9ea9-cf73b04f66d5"/>
    <ds:schemaRef ds:uri="http://purl.org/dc/dcmitype/"/>
    <ds:schemaRef ds:uri="http://purl.org/dc/elements/1.1/"/>
    <ds:schemaRef ds:uri="http://www.w3.org/XML/1998/namespace"/>
    <ds:schemaRef ds:uri="0683c779-04fc-4b63-89c9-6c25ffa1c0a4"/>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2025-02-07T13:52:56Z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